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75CEF9F6-20EE-4578-A799-F1EF02755F85}"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Residual" sheetId="19"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 i="1" l="1"/>
  <c r="Q32" i="1"/>
  <c r="T31" i="1"/>
  <c r="Q31" i="1"/>
  <c r="T29" i="1"/>
  <c r="Q29" i="1"/>
  <c r="Q27" i="1"/>
  <c r="T27" i="1"/>
  <c r="Q28" i="1"/>
  <c r="AB28" i="1" s="1"/>
  <c r="AA28" i="1" s="1"/>
  <c r="T28" i="1"/>
  <c r="Q21" i="1"/>
  <c r="T21" i="1"/>
  <c r="Q22" i="1"/>
  <c r="AB22" i="1" s="1"/>
  <c r="AA22" i="1" s="1"/>
  <c r="T22" i="1"/>
  <c r="Q23" i="1"/>
  <c r="AB23" i="1" s="1"/>
  <c r="AA23" i="1" s="1"/>
  <c r="T23" i="1"/>
  <c r="Q24" i="1"/>
  <c r="T24" i="1"/>
  <c r="Q25" i="1"/>
  <c r="AB25" i="1" s="1"/>
  <c r="AA25" i="1" s="1"/>
  <c r="T25" i="1"/>
  <c r="Q18" i="1"/>
  <c r="T18" i="1"/>
  <c r="Q17" i="1"/>
  <c r="Q16" i="1"/>
  <c r="K17" i="1"/>
  <c r="T17" i="1"/>
  <c r="K18" i="1"/>
  <c r="K15" i="1"/>
  <c r="Q15" i="1"/>
  <c r="T15" i="1"/>
  <c r="K14" i="1"/>
  <c r="Q14" i="1"/>
  <c r="T14" i="1"/>
  <c r="X27" i="1" l="1"/>
  <c r="Y27" i="1" s="1"/>
  <c r="X24" i="1"/>
  <c r="Y24" i="1" s="1"/>
  <c r="X23" i="1"/>
  <c r="Z23" i="1" s="1"/>
  <c r="X21" i="1"/>
  <c r="Z21" i="1" s="1"/>
  <c r="X28" i="1"/>
  <c r="AB27" i="1"/>
  <c r="AA27" i="1" s="1"/>
  <c r="AB24" i="1"/>
  <c r="AA24" i="1" s="1"/>
  <c r="AB21" i="1"/>
  <c r="AA21" i="1" s="1"/>
  <c r="X25" i="1"/>
  <c r="X22" i="1"/>
  <c r="X15" i="1"/>
  <c r="Y15" i="1" s="1"/>
  <c r="AB15" i="1"/>
  <c r="AA15" i="1" s="1"/>
  <c r="T10" i="1"/>
  <c r="Q10" i="1"/>
  <c r="H10" i="1"/>
  <c r="I10" i="1" s="1"/>
  <c r="K38" i="1"/>
  <c r="K24" i="1"/>
  <c r="K21" i="1"/>
  <c r="K25" i="1"/>
  <c r="K34" i="1"/>
  <c r="K35" i="1"/>
  <c r="K23" i="1"/>
  <c r="K22" i="1"/>
  <c r="K36" i="1"/>
  <c r="K37" i="1"/>
  <c r="K27" i="1"/>
  <c r="K30" i="1"/>
  <c r="K28" i="1"/>
  <c r="Z24" i="1" l="1"/>
  <c r="Y23" i="1"/>
  <c r="AC23" i="1" s="1"/>
  <c r="Z27" i="1"/>
  <c r="Y21" i="1"/>
  <c r="AC21" i="1" s="1"/>
  <c r="Z28" i="1"/>
  <c r="Y28" i="1"/>
  <c r="AC28" i="1" s="1"/>
  <c r="AC27" i="1"/>
  <c r="Z22" i="1"/>
  <c r="Y22" i="1"/>
  <c r="AC22" i="1" s="1"/>
  <c r="Z25" i="1"/>
  <c r="Y25" i="1"/>
  <c r="AC25" i="1" s="1"/>
  <c r="AC24" i="1"/>
  <c r="Z15" i="1"/>
  <c r="AC15" i="1"/>
  <c r="F221" i="13"/>
  <c r="F211" i="13"/>
  <c r="F212" i="13"/>
  <c r="F213" i="13"/>
  <c r="F214" i="13"/>
  <c r="F215" i="13"/>
  <c r="F216" i="13"/>
  <c r="F217" i="13"/>
  <c r="F218" i="13"/>
  <c r="F219" i="13"/>
  <c r="F220" i="13"/>
  <c r="F210" i="13"/>
  <c r="K11" i="1"/>
  <c r="K12" i="1"/>
  <c r="B221" i="13" a="1"/>
  <c r="K13"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38" i="1" l="1"/>
  <c r="Q38" i="1"/>
  <c r="T37" i="1"/>
  <c r="Q37" i="1"/>
  <c r="T36" i="1"/>
  <c r="Q36" i="1"/>
  <c r="T35" i="1"/>
  <c r="Q35" i="1"/>
  <c r="T34" i="1"/>
  <c r="Q34" i="1"/>
  <c r="T33" i="1"/>
  <c r="Q33" i="1"/>
  <c r="H33" i="1"/>
  <c r="I33" i="1" s="1"/>
  <c r="H32" i="1"/>
  <c r="I32" i="1" s="1"/>
  <c r="X32" i="1" s="1"/>
  <c r="H31" i="1"/>
  <c r="I31" i="1" s="1"/>
  <c r="X31" i="1" s="1"/>
  <c r="T30" i="1"/>
  <c r="Q30" i="1"/>
  <c r="H29" i="1"/>
  <c r="I29" i="1" s="1"/>
  <c r="X29" i="1" s="1"/>
  <c r="T26" i="1"/>
  <c r="Q26" i="1"/>
  <c r="H26" i="1"/>
  <c r="I26" i="1" s="1"/>
  <c r="T20" i="1"/>
  <c r="Q20" i="1"/>
  <c r="H20" i="1"/>
  <c r="I20" i="1" s="1"/>
  <c r="T19" i="1"/>
  <c r="Q19" i="1"/>
  <c r="H19" i="1"/>
  <c r="I19" i="1" s="1"/>
  <c r="H16" i="1"/>
  <c r="Q13" i="1"/>
  <c r="T16" i="1"/>
  <c r="Z29" i="1" l="1"/>
  <c r="Y29" i="1"/>
  <c r="Z32" i="1"/>
  <c r="Y32" i="1"/>
  <c r="Y31" i="1"/>
  <c r="Z31" i="1"/>
  <c r="X14" i="1"/>
  <c r="AB14" i="1"/>
  <c r="AA14" i="1" s="1"/>
  <c r="AB34" i="1"/>
  <c r="AB30" i="1"/>
  <c r="AA30" i="1" s="1"/>
  <c r="I16" i="1"/>
  <c r="X16" i="1" s="1"/>
  <c r="X33" i="1"/>
  <c r="X30" i="1"/>
  <c r="X26" i="1"/>
  <c r="X20" i="1"/>
  <c r="X19" i="1"/>
  <c r="Y14" i="1" l="1"/>
  <c r="AC14" i="1" s="1"/>
  <c r="Z14" i="1"/>
  <c r="Y33" i="1"/>
  <c r="Z33" i="1"/>
  <c r="X34" i="1" s="1"/>
  <c r="Y34" i="1" s="1"/>
  <c r="Y30" i="1"/>
  <c r="Z30" i="1"/>
  <c r="Y26" i="1"/>
  <c r="Z26" i="1"/>
  <c r="Y20" i="1"/>
  <c r="Z20" i="1"/>
  <c r="Y19" i="1"/>
  <c r="Z19" i="1"/>
  <c r="Y16" i="1"/>
  <c r="Z16" i="1"/>
  <c r="X17" i="1" s="1"/>
  <c r="Y17" i="1" l="1"/>
  <c r="Z17" i="1"/>
  <c r="X18" i="1" s="1"/>
  <c r="Z34" i="1"/>
  <c r="X35"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0" i="1"/>
  <c r="T11" i="1"/>
  <c r="T12" i="1"/>
  <c r="T13" i="1"/>
  <c r="Y18" i="1" l="1"/>
  <c r="Z18" i="1"/>
  <c r="Y35" i="1"/>
  <c r="Z35" i="1"/>
  <c r="X36" i="1" s="1"/>
  <c r="Z36" i="1" l="1"/>
  <c r="Y36" i="1"/>
  <c r="Q12" i="1"/>
  <c r="X37" i="1" l="1"/>
  <c r="X38" i="1"/>
  <c r="X10" i="1"/>
  <c r="Y10" i="1" s="1"/>
  <c r="Y38" i="1" l="1"/>
  <c r="Z38" i="1"/>
  <c r="Y37" i="1"/>
  <c r="Z37" i="1"/>
  <c r="Q11" i="1"/>
  <c r="Z10" i="1" l="1"/>
  <c r="X11" i="1" s="1"/>
  <c r="Y11" i="1" l="1"/>
  <c r="Z11" i="1" l="1"/>
  <c r="X12" i="1" s="1"/>
  <c r="Y12" i="1" s="1"/>
  <c r="Z12" i="1" l="1"/>
  <c r="X13" i="1" s="1"/>
  <c r="Z13" i="1" l="1"/>
  <c r="Y13" i="1" l="1"/>
  <c r="AB35" i="1" l="1"/>
  <c r="AA34" i="1" l="1"/>
  <c r="AA35" i="1"/>
  <c r="AB36" i="1"/>
  <c r="AA36" i="1" l="1"/>
  <c r="AB37" i="1"/>
  <c r="K35" i="19"/>
  <c r="AC25" i="19"/>
  <c r="K45" i="19"/>
  <c r="AI45" i="19"/>
  <c r="W45" i="19"/>
  <c r="Q35" i="19"/>
  <c r="K55" i="19"/>
  <c r="AC15" i="19"/>
  <c r="Q15" i="19"/>
  <c r="AC35" i="19"/>
  <c r="AI35" i="19"/>
  <c r="Q55" i="19"/>
  <c r="AI25" i="19"/>
  <c r="AC34"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35"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3" i="1"/>
  <c r="AA13"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37" i="1"/>
  <c r="AB38" i="1"/>
  <c r="AA38"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AC36"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38"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37"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26" i="1" l="1"/>
  <c r="L26" i="1" s="1"/>
  <c r="K10" i="1"/>
  <c r="L10" i="1" s="1"/>
  <c r="K19" i="1"/>
  <c r="L19" i="1" s="1"/>
  <c r="K31" i="1"/>
  <c r="L31" i="1" s="1"/>
  <c r="K29" i="1"/>
  <c r="L29" i="1" s="1"/>
  <c r="K20" i="1"/>
  <c r="L20" i="1" s="1"/>
  <c r="K16" i="1"/>
  <c r="L16" i="1" s="1"/>
  <c r="K33" i="1"/>
  <c r="L33" i="1" s="1"/>
  <c r="K32" i="1"/>
  <c r="L32"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20" i="1"/>
  <c r="L32" i="18"/>
  <c r="X8" i="18"/>
  <c r="X24" i="18"/>
  <c r="AJ8" i="18"/>
  <c r="M20" i="1"/>
  <c r="AB20" i="1" s="1"/>
  <c r="AA20" i="1" s="1"/>
  <c r="R40" i="18"/>
  <c r="L40" i="18"/>
  <c r="X16" i="18"/>
  <c r="L24" i="18"/>
  <c r="AJ24" i="18"/>
  <c r="X32" i="18"/>
  <c r="AJ40" i="18"/>
  <c r="R16" i="18"/>
  <c r="AD40" i="18"/>
  <c r="AD32" i="18"/>
  <c r="AD16" i="18"/>
  <c r="M29" i="1"/>
  <c r="AB29" i="1" s="1"/>
  <c r="AA29" i="1" s="1"/>
  <c r="J42" i="18"/>
  <c r="P34" i="18"/>
  <c r="AB18" i="18"/>
  <c r="AB42" i="18"/>
  <c r="AH34" i="18"/>
  <c r="P10" i="18"/>
  <c r="V34" i="18"/>
  <c r="P42" i="18"/>
  <c r="V42" i="18"/>
  <c r="AH42" i="18"/>
  <c r="AB26" i="18"/>
  <c r="AH26" i="18"/>
  <c r="V26" i="18"/>
  <c r="AB34" i="18"/>
  <c r="V10" i="18"/>
  <c r="AH18" i="18"/>
  <c r="J34" i="18"/>
  <c r="J10" i="18"/>
  <c r="AB10" i="18"/>
  <c r="J18" i="18"/>
  <c r="N29" i="1"/>
  <c r="P26" i="18"/>
  <c r="J26" i="18"/>
  <c r="AH10" i="18"/>
  <c r="P18" i="18"/>
  <c r="V18" i="18"/>
  <c r="X42" i="18"/>
  <c r="AD34" i="18"/>
  <c r="AD10" i="18"/>
  <c r="AD26" i="18"/>
  <c r="L10" i="18"/>
  <c r="L42" i="18"/>
  <c r="L26" i="18"/>
  <c r="X18" i="18"/>
  <c r="X34" i="18"/>
  <c r="X10" i="18"/>
  <c r="R18" i="18"/>
  <c r="AJ10" i="18"/>
  <c r="AD42" i="18"/>
  <c r="AJ34" i="18"/>
  <c r="R26" i="18"/>
  <c r="M31" i="1"/>
  <c r="AB31" i="1" s="1"/>
  <c r="AA31" i="1" s="1"/>
  <c r="L18" i="18"/>
  <c r="AJ26" i="18"/>
  <c r="AD18" i="18"/>
  <c r="R34" i="18"/>
  <c r="L34" i="18"/>
  <c r="AJ42" i="18"/>
  <c r="R10" i="18"/>
  <c r="R42" i="18"/>
  <c r="X26" i="18"/>
  <c r="AJ18" i="18"/>
  <c r="N31" i="1"/>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M19" i="1"/>
  <c r="AB19" i="1" s="1"/>
  <c r="J16" i="18"/>
  <c r="P32" i="18"/>
  <c r="V24" i="18"/>
  <c r="P24" i="18"/>
  <c r="V40" i="18"/>
  <c r="P16" i="18"/>
  <c r="P40" i="18"/>
  <c r="V32" i="18"/>
  <c r="AH16" i="18"/>
  <c r="AB16" i="18"/>
  <c r="V8" i="18"/>
  <c r="AH24" i="18"/>
  <c r="AH8" i="18"/>
  <c r="AH40" i="18"/>
  <c r="J8" i="18"/>
  <c r="AB32" i="18"/>
  <c r="AB8" i="18"/>
  <c r="J24" i="18"/>
  <c r="J32" i="18"/>
  <c r="P8" i="18"/>
  <c r="N19" i="1"/>
  <c r="Z42" i="18"/>
  <c r="T18" i="18"/>
  <c r="AF34" i="18"/>
  <c r="AF42" i="18"/>
  <c r="N42" i="18"/>
  <c r="Z18" i="18"/>
  <c r="AL10" i="18"/>
  <c r="AL26" i="18"/>
  <c r="AF26" i="18"/>
  <c r="Z10" i="18"/>
  <c r="N18" i="18"/>
  <c r="T26" i="18"/>
  <c r="AF10" i="18"/>
  <c r="T34" i="18"/>
  <c r="N26" i="18"/>
  <c r="AL18" i="18"/>
  <c r="N10" i="18"/>
  <c r="AF18" i="18"/>
  <c r="Z26" i="18"/>
  <c r="AL34" i="18"/>
  <c r="M32" i="1"/>
  <c r="AB32" i="1" s="1"/>
  <c r="AA32" i="1" s="1"/>
  <c r="Z34" i="18"/>
  <c r="T10" i="18"/>
  <c r="N32"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33" i="1"/>
  <c r="P12" i="18"/>
  <c r="AH20" i="18"/>
  <c r="P44" i="18"/>
  <c r="AB12" i="18"/>
  <c r="P20" i="18"/>
  <c r="J36" i="18"/>
  <c r="P36" i="18"/>
  <c r="AB44" i="18"/>
  <c r="V44" i="18"/>
  <c r="J28" i="18"/>
  <c r="AH36" i="18"/>
  <c r="V12" i="18"/>
  <c r="V28" i="18"/>
  <c r="AH44" i="18"/>
  <c r="AB20" i="18"/>
  <c r="AB36" i="18"/>
  <c r="AH28" i="18"/>
  <c r="V36" i="18"/>
  <c r="V20" i="18"/>
  <c r="M33" i="1"/>
  <c r="AB33" i="1" s="1"/>
  <c r="AA33" i="1" s="1"/>
  <c r="J12" i="18"/>
  <c r="AF24" i="18"/>
  <c r="AF32" i="18"/>
  <c r="T40" i="18"/>
  <c r="M26" i="1"/>
  <c r="AB26" i="1" s="1"/>
  <c r="Z40" i="18"/>
  <c r="AL8" i="18"/>
  <c r="AF8" i="18"/>
  <c r="T8" i="18"/>
  <c r="Z16" i="18"/>
  <c r="T24" i="18"/>
  <c r="AL24" i="18"/>
  <c r="Z32" i="18"/>
  <c r="N32" i="18"/>
  <c r="N16" i="18"/>
  <c r="Z8" i="18"/>
  <c r="AL40" i="18"/>
  <c r="N8" i="18"/>
  <c r="N24" i="18"/>
  <c r="T32" i="18"/>
  <c r="T16" i="18"/>
  <c r="AF40" i="18"/>
  <c r="AF16" i="18"/>
  <c r="AL32" i="18"/>
  <c r="N40" i="18"/>
  <c r="Z24" i="18"/>
  <c r="AL16" i="18"/>
  <c r="N26" i="1"/>
  <c r="AC29" i="1" l="1"/>
  <c r="AH12" i="19"/>
  <c r="AH52" i="19"/>
  <c r="J42" i="19"/>
  <c r="P22" i="19"/>
  <c r="P42" i="19"/>
  <c r="AH22" i="19"/>
  <c r="P32" i="19"/>
  <c r="J12" i="19"/>
  <c r="AH42" i="19"/>
  <c r="P12" i="19"/>
  <c r="AB42" i="19"/>
  <c r="V12" i="19"/>
  <c r="J52" i="19"/>
  <c r="V32" i="19"/>
  <c r="AB12" i="19"/>
  <c r="P52" i="19"/>
  <c r="AB32" i="19"/>
  <c r="V42" i="19"/>
  <c r="AH32" i="19"/>
  <c r="V52" i="19"/>
  <c r="V22" i="19"/>
  <c r="J32" i="19"/>
  <c r="J22" i="19"/>
  <c r="AB22" i="19"/>
  <c r="AB52" i="19"/>
  <c r="AC32" i="1"/>
  <c r="AB54" i="19"/>
  <c r="V24" i="19"/>
  <c r="AH54" i="19"/>
  <c r="AB24" i="19"/>
  <c r="AB44" i="19"/>
  <c r="AH34" i="19"/>
  <c r="V14" i="19"/>
  <c r="V44" i="19"/>
  <c r="J54" i="19"/>
  <c r="P34" i="19"/>
  <c r="AH44" i="19"/>
  <c r="J34" i="19"/>
  <c r="V54" i="19"/>
  <c r="P24" i="19"/>
  <c r="AH14" i="19"/>
  <c r="AB14" i="19"/>
  <c r="J14" i="19"/>
  <c r="J44" i="19"/>
  <c r="AB34" i="19"/>
  <c r="AH24" i="19"/>
  <c r="J24" i="19"/>
  <c r="P14" i="19"/>
  <c r="P54" i="19"/>
  <c r="V34" i="19"/>
  <c r="P44" i="19"/>
  <c r="AC31" i="1"/>
  <c r="AB33" i="19"/>
  <c r="AH43" i="19"/>
  <c r="AB13" i="19"/>
  <c r="V13" i="19"/>
  <c r="AH13" i="19"/>
  <c r="AH53" i="19"/>
  <c r="AH23" i="19"/>
  <c r="P53" i="19"/>
  <c r="J53" i="19"/>
  <c r="J23" i="19"/>
  <c r="V43" i="19"/>
  <c r="AB43" i="19"/>
  <c r="J13" i="19"/>
  <c r="P33" i="19"/>
  <c r="P43" i="19"/>
  <c r="AB53" i="19"/>
  <c r="J33" i="19"/>
  <c r="V33" i="19"/>
  <c r="V53" i="19"/>
  <c r="P13" i="19"/>
  <c r="AH33" i="19"/>
  <c r="V23" i="19"/>
  <c r="J43" i="19"/>
  <c r="AB23" i="19"/>
  <c r="P23" i="19"/>
  <c r="AB17" i="1"/>
  <c r="AA16" i="1"/>
  <c r="V7" i="19" s="1"/>
  <c r="AA26" i="1"/>
  <c r="P41" i="19" s="1"/>
  <c r="J40" i="19"/>
  <c r="J50" i="19"/>
  <c r="J10" i="19"/>
  <c r="V40" i="19"/>
  <c r="V30" i="19"/>
  <c r="AB40" i="19"/>
  <c r="AB20" i="19"/>
  <c r="AB30" i="19"/>
  <c r="AH20" i="19"/>
  <c r="P30" i="19"/>
  <c r="AH50" i="19"/>
  <c r="J30" i="19"/>
  <c r="V50" i="19"/>
  <c r="AC20" i="1"/>
  <c r="V20" i="19"/>
  <c r="P50" i="19"/>
  <c r="V10" i="19"/>
  <c r="AH10" i="19"/>
  <c r="AB10" i="19"/>
  <c r="P20" i="19"/>
  <c r="AB50" i="19"/>
  <c r="P40" i="19"/>
  <c r="P10" i="19"/>
  <c r="AH30" i="19"/>
  <c r="J20" i="19"/>
  <c r="AH40" i="19"/>
  <c r="AA19" i="1"/>
  <c r="V39" i="19" s="1"/>
  <c r="P38" i="19"/>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33" i="1"/>
  <c r="AB25" i="19"/>
  <c r="AH35" i="19"/>
  <c r="P55" i="19"/>
  <c r="J45" i="19"/>
  <c r="P25" i="19"/>
  <c r="P35" i="19"/>
  <c r="V55" i="19"/>
  <c r="AA17" i="1" l="1"/>
  <c r="AC17" i="1" s="1"/>
  <c r="AB18" i="1"/>
  <c r="AA18" i="1" s="1"/>
  <c r="AC18" i="1" s="1"/>
  <c r="AH17" i="19"/>
  <c r="AH47" i="19"/>
  <c r="V37" i="19"/>
  <c r="P37" i="19"/>
  <c r="AB37" i="19"/>
  <c r="J47" i="19"/>
  <c r="J17" i="19"/>
  <c r="J27" i="19"/>
  <c r="AB47" i="19"/>
  <c r="J7" i="19"/>
  <c r="P47" i="19"/>
  <c r="AB7" i="19"/>
  <c r="J37" i="19"/>
  <c r="AH37" i="19"/>
  <c r="AH7" i="19"/>
  <c r="P27" i="19"/>
  <c r="AH27" i="19"/>
  <c r="AB27" i="19"/>
  <c r="P17" i="19"/>
  <c r="V27" i="19"/>
  <c r="V17" i="19"/>
  <c r="AB17" i="19"/>
  <c r="V47" i="19"/>
  <c r="P7" i="19"/>
  <c r="AC16" i="1"/>
  <c r="AD17" i="19"/>
  <c r="AJ47" i="19"/>
  <c r="L37" i="19"/>
  <c r="L47" i="19"/>
  <c r="R17" i="19"/>
  <c r="R37" i="19"/>
  <c r="AJ17" i="19"/>
  <c r="AD7" i="19"/>
  <c r="X7" i="19"/>
  <c r="X37" i="19"/>
  <c r="X47" i="19"/>
  <c r="AD47" i="19"/>
  <c r="L7" i="19"/>
  <c r="R47" i="19"/>
  <c r="AJ27" i="19"/>
  <c r="L17" i="19"/>
  <c r="AD37" i="19"/>
  <c r="AD27" i="19"/>
  <c r="R27" i="19"/>
  <c r="L27" i="19"/>
  <c r="AJ7" i="19"/>
  <c r="X27" i="19"/>
  <c r="X17" i="19"/>
  <c r="AJ37" i="19"/>
  <c r="R7" i="19"/>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C26" i="1"/>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P49" i="19"/>
  <c r="V49" i="19"/>
  <c r="J9" i="19"/>
  <c r="AB19" i="19"/>
  <c r="AC19" i="1"/>
  <c r="V9" i="19"/>
  <c r="J49" i="19"/>
  <c r="AH29" i="19"/>
  <c r="J39" i="19"/>
  <c r="AB29" i="19"/>
  <c r="AB28" i="19"/>
  <c r="AH18" i="19"/>
  <c r="AH8" i="19"/>
  <c r="V8" i="19"/>
  <c r="J18" i="19"/>
  <c r="AB38" i="19"/>
  <c r="V48" i="19"/>
  <c r="AB18" i="19"/>
  <c r="V38" i="19"/>
  <c r="AB8" i="19"/>
  <c r="AH38" i="19"/>
  <c r="P28" i="19"/>
  <c r="J48" i="19"/>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C51" i="19" l="1"/>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J9" i="19"/>
  <c r="X39" i="19"/>
  <c r="AD39" i="19"/>
  <c r="AD9" i="19"/>
  <c r="R29" i="19"/>
  <c r="AJ49" i="19"/>
  <c r="L19" i="19"/>
  <c r="AD29" i="19"/>
  <c r="L49" i="19"/>
  <c r="L29" i="19"/>
  <c r="AJ29" i="19"/>
  <c r="L39" i="19"/>
  <c r="AD19" i="19"/>
  <c r="X19" i="19"/>
  <c r="R19" i="19"/>
  <c r="R49" i="19"/>
  <c r="X29" i="19"/>
  <c r="R9" i="19"/>
  <c r="R39" i="19"/>
  <c r="AJ39" i="19"/>
</calcChain>
</file>

<file path=xl/sharedStrings.xml><?xml version="1.0" encoding="utf-8"?>
<sst xmlns="http://schemas.openxmlformats.org/spreadsheetml/2006/main" count="553" uniqueCount="278">
  <si>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</si>
  <si>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</si>
  <si>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</si>
  <si>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</si>
  <si>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</si>
  <si>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</si>
  <si>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</si>
  <si>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</si>
  <si>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</si>
  <si>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</si>
  <si>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</si>
  <si>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</si>
  <si>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</si>
  <si>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</si>
  <si>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</si>
  <si>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</si>
  <si>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</si>
  <si>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</si>
  <si>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</si>
  <si>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</si>
  <si>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</si>
  <si>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</si>
  <si>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</si>
  <si>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</si>
  <si>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</si>
  <si>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</si>
  <si>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</si>
  <si>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</si>
  <si>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</si>
  <si>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</si>
  <si>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</si>
  <si>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</si>
  <si>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</si>
  <si>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</si>
  <si>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</si>
  <si>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</si>
  <si>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</si>
  <si>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</si>
  <si>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</si>
  <si>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</si>
  <si>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</si>
  <si>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</si>
  <si>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</si>
  <si>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</si>
  <si>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</si>
  <si>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</si>
  <si>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</si>
  <si>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</si>
  <si>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</si>
  <si>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</si>
  <si>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</si>
  <si>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</si>
  <si>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</si>
  <si>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</si>
  <si>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</si>
  <si>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</si>
  <si>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</si>
  <si>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</si>
  <si>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</si>
  <si>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</si>
  <si>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</si>
  <si>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</si>
  <si>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</si>
  <si>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</si>
  <si>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</si>
  <si>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</si>
  <si>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</si>
  <si>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</si>
  <si>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</si>
  <si>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</si>
  <si>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</si>
  <si>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</si>
  <si>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</si>
  <si>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</si>
  <si>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</si>
  <si>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</si>
  <si>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</si>
  <si>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</si>
  <si>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</si>
  <si>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</si>
  <si>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</si>
  <si>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</si>
  <si>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</si>
  <si>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</si>
  <si>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</si>
  <si>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</si>
  <si>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</si>
  <si>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</si>
  <si>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</si>
  <si>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</si>
  <si>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</si>
  <si>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</si>
  <si>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</si>
  <si>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</si>
  <si>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</si>
  <si>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</si>
  <si>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</si>
  <si>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</si>
  <si>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</si>
  <si>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</si>
  <si>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</si>
  <si>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</si>
  <si>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</si>
  <si>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</si>
  <si>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</si>
  <si>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</si>
  <si>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</si>
  <si>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</si>
  <si>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</si>
  <si>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</si>
  <si>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</si>
  <si>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</si>
  <si>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</si>
  <si>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</si>
  <si>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</si>
  <si>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</si>
  <si>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</si>
  <si>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</si>
  <si>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</si>
  <si>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</si>
  <si>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</si>
  <si>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</si>
  <si>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</si>
  <si>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</si>
  <si>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</si>
  <si>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</si>
  <si>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</si>
  <si>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</si>
  <si>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</si>
  <si>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</si>
  <si>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</si>
  <si>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</si>
  <si>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</si>
  <si>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</si>
  <si>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</si>
  <si>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</si>
  <si>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</si>
  <si>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</si>
  <si>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</si>
  <si>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</si>
  <si>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</si>
  <si>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</si>
  <si>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</si>
  <si>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</si>
  <si>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</si>
  <si>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</si>
  <si>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</si>
  <si>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</si>
  <si>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</si>
  <si>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</si>
  <si>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</si>
  <si>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</si>
  <si>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</si>
  <si>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</si>
  <si>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</si>
  <si>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</si>
  <si>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</si>
  <si>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</si>
  <si>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</si>
  <si>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</si>
  <si>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</si>
  <si>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</si>
  <si>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</si>
  <si>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</si>
  <si>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</si>
  <si>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</si>
  <si>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</si>
  <si>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</si>
  <si>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</si>
  <si>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</si>
  <si>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</si>
  <si>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</si>
  <si>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</si>
  <si>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</si>
  <si>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</si>
  <si>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</si>
  <si>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</si>
  <si>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</si>
  <si>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</si>
  <si>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</si>
  <si>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</si>
  <si>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</si>
  <si>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</si>
  <si>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</si>
  <si>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</si>
  <si>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</si>
  <si>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</si>
  <si>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</si>
  <si>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</si>
  <si>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</si>
  <si>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</si>
  <si>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</si>
  <si>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</si>
  <si>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</si>
  <si>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</si>
  <si>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</si>
  <si>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</si>
  <si>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</si>
  <si>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</si>
  <si>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</si>
  <si>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</si>
  <si>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</si>
  <si>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</si>
  <si>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</si>
  <si>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</si>
  <si>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</si>
  <si>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</si>
  <si>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</si>
  <si>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</si>
  <si>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</si>
  <si>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</si>
  <si>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</si>
  <si>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</si>
  <si>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</si>
  <si>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</si>
  <si>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</si>
  <si>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</si>
  <si>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Multa o sancion del ente regulador</t>
  </si>
  <si>
    <t>Mensual</t>
  </si>
  <si>
    <t>Semestral</t>
  </si>
  <si>
    <t>Sancion del ente regulador</t>
  </si>
  <si>
    <t>Evidencia Control</t>
  </si>
  <si>
    <t xml:space="preserve">Semestral
</t>
  </si>
  <si>
    <t>Asesorar, liderar y/o acompañar a las diferentes áreas de la Unidad del SPE en las etapas necesarias para la adquisición, mantenimiento, implementación y/o implantación de Soluciones de Tipo Tecnológico que sean requeridas. Así mismo, formular e implementar las estrategias de Tecnologías de la Información en materia de seguridad informática, uso y apropiación de los Sistemas de Información y disponibilidad de los servicios de TI, apalancando así el logro de los objetivos de las diferentes áreas de la entidad.</t>
  </si>
  <si>
    <t>El proceso inicia con la recepción de solicitudes de servicios o identificación de necesidades de tipo tecnológico, realizando el respectivo análisis de viabilidad tecnológica considerando los lineamientos, normativa y políticas de la Unidad de SPE, finalizando con la materialización de un producto de TI, realizando el respectivo seguimiento y control a las distintas actividades involucradas y en caso de ser necesario realizar las respectivas acciones de mejora.</t>
  </si>
  <si>
    <t>Posibilidad de afectación económica y reputacional por Posibilidad de afectación en el acceso a los sistemas de información y/o servicios de la Unidad del SPE a los usuarios internos y externos debido a la indisponibilidad de la Infraestructura Tecnológica.</t>
  </si>
  <si>
    <t>Posibilidad de afectación reputacional por posibilidad de afectación en la imagen institucional al publicar información inexacta debido a la ausencia de mecanismos que velen por la confiabilidad de la información.</t>
  </si>
  <si>
    <t xml:space="preserve">Fallas en la infraestuctura tecnológica
Fallas en las aplicaciones instaladas en la Infraestructura Tecnológica </t>
  </si>
  <si>
    <t>Posibilidad de afectación en la imagen institucional al publicar información inexacta debido a la ausencia de mecanismos que velen por la confiabilidad de la información</t>
  </si>
  <si>
    <t>Ausencia de controles en la Infraestructura Tecnológica
Ausencia de política de contraseñas seguras para el acceso a las aplicaciones y/o servicios
Falta de sensibilización a los usuarios en aspectos relacionados con seguridad informática</t>
  </si>
  <si>
    <t>Vencimiento de los tiempos estipulados para la renovación del contrato por falta de controles de parte del supervisor.
Demora en la entrega de los documentos necesarios por parte de alguno de los actores en el proceso.
La falta de experticia en el tema de contración, teniendo en cuenta la modalidad de cotratación. 
Falta de planeación en el Plan anual de adquisiciones.(PAA).</t>
  </si>
  <si>
    <t>Ausencia de Infraestructura técnológica de ambientes de pruebas
Disponibilidad de tiempo o ausencia de recurso humano necesario
Falta de documentación o conocimiento para realizar el proceso de actualización</t>
  </si>
  <si>
    <t>Falta de capacitación
Ausencia de recursos
Los objetivos institucionales no contemplan aspectos de uso de nuevas tecnologías</t>
  </si>
  <si>
    <t>Cambios en la legislación
Vencimiento de los contratos
Lineamientos al interior de la entidad
Cambios en los proveedores disponibles de los servicios tecnológicos</t>
  </si>
  <si>
    <t>Posibilidad de afectación económica y reputacional por posibilidad de afectación en la prestación de los servicios de la Unidad del SPE hacia usuarios internos o externos debido a ataques informáticos</t>
  </si>
  <si>
    <t>Posibilidad de afectación económica y reputacional por posibilidad de no dar continuidad a los servicios debido al vencimiento en los contratos o falta de presupuesto.</t>
  </si>
  <si>
    <t>Posibilidad de afectación económica y reputacional por posibilidad de explotación de vulnerabilidades por parte de atacantes informáticos debido al uso de versiones no actualizadas de: Sistemas Operativos, Bases de Datos y/o Software Base.</t>
  </si>
  <si>
    <t>Posibilidad de afectación económica y reputacional por posibilidad de obsolescencia tecnológica debido al desconocimiento o no uso de nuevas tecnologías</t>
  </si>
  <si>
    <t>Posibilidad de afectación económica y reputacional por posibilidad de afectación total o parcial en el acceso a las aplicaciones y servicios tecnológicos que son utilizados por usuarios internos y externos debido al cambio de proveedor de servicios tecnológicos</t>
  </si>
  <si>
    <t>Monitoreo a la Infraestructura Tecnológica contratada</t>
  </si>
  <si>
    <t xml:space="preserve">Monitoreo a la Infraestructura Tecnológica contratada
</t>
  </si>
  <si>
    <t>Monitoreo a la disponibilidad de los servicios que prestan el soporte a las aplicaciones</t>
  </si>
  <si>
    <t>Revisión a la calidad de los datos</t>
  </si>
  <si>
    <t xml:space="preserve">Copias de Seguridad (backups)
</t>
  </si>
  <si>
    <t>Restauración de Backusp de las Bases de Datos para verificar la confiabilidad de los mismos</t>
  </si>
  <si>
    <t>Boletines Seguridad de la Información</t>
  </si>
  <si>
    <t>Appliances especializados de seguridad Informatica (Firewall y WAF)</t>
  </si>
  <si>
    <t>Plan Anual de Adquisiciones elaborado en conjunto con los funcionarios de la Subdirección de Desarrollo y Tecnología</t>
  </si>
  <si>
    <t>Seguimiento al Plan Anual de Adquisiciones</t>
  </si>
  <si>
    <t>Comunicación oportuna al Subdirector de Desarrollo y Tecnología informando sobre la necesidad de bien y/o servicio y la afectación de contar con el servicio</t>
  </si>
  <si>
    <t>Identificación de elementos (Servidores + BDs + Software Base) actualmente utilizados para posteriormente planear qué se necesitaría para realizar la actualización controlada.</t>
  </si>
  <si>
    <t>Identificar componentes de TI que caigan en obsolescencia</t>
  </si>
  <si>
    <t>Generar desde la Subdirección de Desarrollo y Tecnología un comunicado a la Secretaria General escalando la decisión de como se va a proceder con los temas contractuales, con el fin de realizar la planeación en caso de un posible cambio en los actuales proveedores de Servicios Tecnológicos de la Unidad del SPE</t>
  </si>
  <si>
    <t>Informe de elementos que conforman las aplicaciones</t>
  </si>
  <si>
    <t>Informe de componentes de TI que caigan en obsolescencia</t>
  </si>
  <si>
    <t>Comunicación Oficial a través del Sistema de Gestión Documental</t>
  </si>
  <si>
    <t>PAA de la SD&amp;T</t>
  </si>
  <si>
    <t>Informe seguimiento PAA de la SD&amp;T</t>
  </si>
  <si>
    <t>Actas de comité de seguimiento de la SD&amp;T
Correo electrónico Institucional</t>
  </si>
  <si>
    <t>Informes de backups en el Drive de la SD&amp;T</t>
  </si>
  <si>
    <t>Pruebas de restauración de backups de las Bases de Datos</t>
  </si>
  <si>
    <t>Informes de disponibilidad de la Infraestructura de TI en el Drive de la SD&amp;T</t>
  </si>
  <si>
    <t>Informes de disponibilidad de los servicios en el Drive de la SD&amp;T</t>
  </si>
  <si>
    <t>Boletines de Seguidad de la Información de los servicios en el Drive de la SD&amp;T</t>
  </si>
  <si>
    <t>Informe de Appliances contratados en el Drive de la SD&amp;T</t>
  </si>
  <si>
    <t>Informe de inconsistencias y acciones de actualización sobre los datos entregados por Asopagos</t>
  </si>
  <si>
    <t>ANS especificados en los contratos</t>
  </si>
  <si>
    <t>Sub Desarrollo y Tecnología</t>
  </si>
  <si>
    <t>Anual</t>
  </si>
  <si>
    <r>
      <t>Código:</t>
    </r>
    <r>
      <rPr>
        <sz val="8"/>
        <color rgb="FF000000"/>
        <rFont val="Arial Narrow"/>
        <family val="2"/>
      </rPr>
      <t xml:space="preserve"> </t>
    </r>
  </si>
  <si>
    <t>DE-Ft-05</t>
  </si>
  <si>
    <r>
      <t>Versión:</t>
    </r>
    <r>
      <rPr>
        <sz val="8"/>
        <color rgb="FF000000"/>
        <rFont val="Arial Narrow"/>
        <family val="2"/>
      </rPr>
      <t xml:space="preserve"> </t>
    </r>
  </si>
  <si>
    <r>
      <t>Vigente desde:</t>
    </r>
    <r>
      <rPr>
        <sz val="8"/>
        <color rgb="FF000000"/>
        <rFont val="Arial Narrow"/>
        <family val="2"/>
      </rPr>
      <t xml:space="preserve"> </t>
    </r>
  </si>
  <si>
    <t>19 de Oct de 2021</t>
  </si>
  <si>
    <t>Seguimiento Cualitativo de los Controles Propuestos</t>
  </si>
  <si>
    <t>Evidencias Relacionadas</t>
  </si>
  <si>
    <t>Seguimiento Primer Seguimiento</t>
  </si>
  <si>
    <t xml:space="preserve"> Gestión de Tecnologías de Información de la Unidad del 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</si>
</sst>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sz val="10"/>
      <color rgb="FF000000"/>
      <name val="Arial"/>
      <family val="2"/>
    </font>
    <font>
      <b/>
      <sz val="8"/>
      <color rgb="FF000000"/>
      <name val="Arial Narrow"/>
      <family val="2"/>
    </font>
    <font>
      <sz val="8"/>
      <color rgb="FF000000"/>
      <name val="Arial Narrow"/>
      <family val="2"/>
    </font>
    <font>
      <b/>
      <sz val="8"/>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9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rgb="FFFF0000"/>
      </left>
      <right/>
      <top/>
      <bottom/>
      <diagonal/>
    </border>
    <border>
      <left style="thin">
        <color rgb="FFFF0000"/>
      </left>
      <right style="dashed">
        <color theme="9" tint="-0.24994659260841701"/>
      </right>
      <top style="thin">
        <color rgb="FFFF0000"/>
      </top>
      <bottom style="dashed">
        <color theme="9" tint="-0.24994659260841701"/>
      </bottom>
      <diagonal/>
    </border>
    <border>
      <left style="dashed">
        <color theme="9" tint="-0.24994659260841701"/>
      </left>
      <right style="thin">
        <color rgb="FFFF0000"/>
      </right>
      <top style="thin">
        <color rgb="FFFF0000"/>
      </top>
      <bottom style="dashed">
        <color theme="9" tint="-0.24994659260841701"/>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right style="thin">
        <color rgb="FFFF0000"/>
      </right>
      <top/>
      <bottom style="thin">
        <color rgb="FFFF0000"/>
      </bottom>
      <diagonal/>
    </border>
    <border>
      <left style="thin">
        <color rgb="FFFF0000"/>
      </left>
      <right style="dashed">
        <color theme="9" tint="-0.24994659260841701"/>
      </right>
      <top style="dashed">
        <color theme="9" tint="-0.24994659260841701"/>
      </top>
      <bottom style="thin">
        <color rgb="FFFF0000"/>
      </bottom>
      <diagonal/>
    </border>
    <border>
      <left style="dashed">
        <color theme="9" tint="-0.24994659260841701"/>
      </left>
      <right style="thin">
        <color rgb="FFFF0000"/>
      </right>
      <top style="dashed">
        <color theme="9" tint="-0.24994659260841701"/>
      </top>
      <bottom style="thin">
        <color rgb="FFFF0000"/>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4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67" fillId="0" borderId="29" xfId="0" applyFont="1" applyBorder="1" applyAlignment="1">
      <alignment vertical="center" wrapText="1"/>
    </xf>
    <xf numFmtId="0" fontId="8" fillId="0" borderId="2" xfId="0" applyFont="1" applyBorder="1" applyAlignment="1" applyProtection="1">
      <alignment horizontal="center" vertical="top" textRotation="90"/>
      <protection locked="0"/>
    </xf>
    <xf numFmtId="164" fontId="8" fillId="0" borderId="2" xfId="1" applyNumberFormat="1" applyFont="1" applyBorder="1" applyAlignment="1">
      <alignment horizontal="center" vertical="top"/>
    </xf>
    <xf numFmtId="0" fontId="27" fillId="0" borderId="2" xfId="0" applyFont="1" applyBorder="1" applyAlignment="1" applyProtection="1">
      <alignment horizontal="center" vertical="top" textRotation="90" wrapText="1"/>
      <protection hidden="1"/>
    </xf>
    <xf numFmtId="9" fontId="8" fillId="0" borderId="4" xfId="0" applyNumberFormat="1" applyFont="1" applyBorder="1" applyAlignment="1" applyProtection="1">
      <alignment horizontal="center" vertical="top"/>
      <protection hidden="1"/>
    </xf>
    <xf numFmtId="0" fontId="27" fillId="0" borderId="2" xfId="0" applyFont="1" applyBorder="1" applyAlignment="1" applyProtection="1">
      <alignment horizontal="center" vertical="top" textRotation="90"/>
      <protection hidden="1"/>
    </xf>
    <xf numFmtId="0" fontId="8" fillId="0" borderId="4" xfId="0" applyFont="1" applyBorder="1" applyAlignment="1" applyProtection="1">
      <alignment horizontal="center" vertical="top" textRotation="90"/>
      <protection locked="0"/>
    </xf>
    <xf numFmtId="0" fontId="1" fillId="0" borderId="4"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4" fillId="0" borderId="4"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0" fontId="2" fillId="0" borderId="4"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9" fontId="1" fillId="0" borderId="4" xfId="0" applyNumberFormat="1" applyFont="1" applyBorder="1" applyAlignment="1" applyProtection="1">
      <alignment horizontal="center" vertical="top" wrapText="1"/>
      <protection locked="0"/>
    </xf>
    <xf numFmtId="0" fontId="68" fillId="0" borderId="71" xfId="0" applyFont="1" applyBorder="1" applyAlignment="1">
      <alignment horizontal="right" vertical="center" wrapText="1"/>
    </xf>
    <xf numFmtId="0" fontId="70" fillId="0" borderId="72" xfId="0" applyFont="1" applyBorder="1" applyAlignment="1">
      <alignment vertical="center" wrapText="1"/>
    </xf>
    <xf numFmtId="0" fontId="68" fillId="0" borderId="73" xfId="0" applyFont="1" applyBorder="1" applyAlignment="1">
      <alignment horizontal="right" vertical="center" wrapText="1"/>
    </xf>
    <xf numFmtId="0" fontId="70" fillId="0" borderId="74" xfId="0" applyFont="1" applyBorder="1" applyAlignment="1">
      <alignment horizontal="left" vertical="center" wrapText="1"/>
    </xf>
    <xf numFmtId="0" fontId="70" fillId="0" borderId="74" xfId="0" applyFont="1" applyBorder="1" applyAlignment="1">
      <alignment vertical="center" wrapText="1"/>
    </xf>
    <xf numFmtId="0" fontId="1" fillId="3" borderId="75" xfId="0" applyFont="1" applyFill="1" applyBorder="1"/>
    <xf numFmtId="0" fontId="1" fillId="3" borderId="76" xfId="0" applyFont="1" applyFill="1" applyBorder="1"/>
    <xf numFmtId="0" fontId="1" fillId="3" borderId="77" xfId="0" applyFont="1" applyFill="1" applyBorder="1"/>
    <xf numFmtId="0" fontId="1" fillId="3" borderId="78" xfId="0" applyFont="1" applyFill="1" applyBorder="1"/>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0" fontId="4" fillId="0" borderId="5" xfId="0" applyFont="1" applyBorder="1" applyAlignment="1" applyProtection="1">
      <alignment horizontal="center" vertical="top"/>
      <protection hidden="1"/>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0" xfId="0" applyFont="1" applyFill="1" applyAlignment="1">
      <alignment horizontal="center" vertical="center"/>
    </xf>
    <xf numFmtId="9" fontId="1" fillId="0" borderId="5" xfId="0" applyNumberFormat="1" applyFont="1" applyBorder="1" applyAlignment="1" applyProtection="1">
      <alignment horizontal="center" vertical="top" wrapText="1"/>
      <protection locked="0"/>
    </xf>
    <xf numFmtId="0" fontId="1" fillId="0" borderId="5" xfId="0" applyFont="1" applyBorder="1" applyAlignment="1" applyProtection="1">
      <alignment horizontal="center" vertical="top"/>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1" fillId="3" borderId="79" xfId="0" applyFont="1" applyFill="1" applyBorder="1"/>
    <xf numFmtId="0" fontId="4" fillId="2" borderId="6" xfId="0" applyFont="1" applyFill="1" applyBorder="1" applyAlignment="1">
      <alignment horizontal="center" vertical="center" wrapText="1"/>
    </xf>
    <xf numFmtId="0" fontId="60" fillId="0" borderId="6"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4" fillId="2" borderId="80"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1" fillId="3" borderId="82" xfId="0" applyFont="1" applyFill="1" applyBorder="1"/>
    <xf numFmtId="0" fontId="1" fillId="3" borderId="83" xfId="0" applyFont="1" applyFill="1" applyBorder="1"/>
    <xf numFmtId="0" fontId="1" fillId="0" borderId="83" xfId="0" applyFont="1" applyBorder="1"/>
    <xf numFmtId="0" fontId="1" fillId="0" borderId="82" xfId="0" applyFont="1" applyBorder="1"/>
    <xf numFmtId="0" fontId="1" fillId="0" borderId="84" xfId="0" applyFont="1" applyBorder="1"/>
    <xf numFmtId="0" fontId="1" fillId="0" borderId="85" xfId="0" applyFont="1" applyBorder="1"/>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85"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2">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91" dataDxfId="90">
  <autoFilter ref="B209:C219" xr:uid="{00000000-0009-0000-0100-000001000000}"/>
  <tableColumns count="2">
    <tableColumn id="1" xr3:uid="{00000000-0010-0000-0000-000001000000}" name="Criterios" dataDxfId="89"/>
    <tableColumn id="2" xr3:uid="{00000000-0010-0000-0000-000002000000}" name="Subcriterios" dataDxfId="8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65" t="s">
        <v>166</v>
      </c>
      <c r="C2" s="166"/>
      <c r="D2" s="166"/>
      <c r="E2" s="166"/>
      <c r="F2" s="166"/>
      <c r="G2" s="166"/>
      <c r="H2" s="167"/>
    </row>
    <row r="3" spans="2:8" x14ac:dyDescent="0.25">
      <c r="B3" s="81"/>
      <c r="C3" s="82"/>
      <c r="D3" s="82"/>
      <c r="E3" s="82"/>
      <c r="F3" s="82"/>
      <c r="G3" s="82"/>
      <c r="H3" s="83"/>
    </row>
    <row r="4" spans="2:8" ht="63" customHeight="1" x14ac:dyDescent="0.25">
      <c r="B4" s="168" t="s">
        <v>209</v>
      </c>
      <c r="C4" s="169"/>
      <c r="D4" s="169"/>
      <c r="E4" s="169"/>
      <c r="F4" s="169"/>
      <c r="G4" s="169"/>
      <c r="H4" s="170"/>
    </row>
    <row r="5" spans="2:8" ht="63" customHeight="1" x14ac:dyDescent="0.25">
      <c r="B5" s="171"/>
      <c r="C5" s="172"/>
      <c r="D5" s="172"/>
      <c r="E5" s="172"/>
      <c r="F5" s="172"/>
      <c r="G5" s="172"/>
      <c r="H5" s="173"/>
    </row>
    <row r="6" spans="2:8" ht="16.5" x14ac:dyDescent="0.25">
      <c r="B6" s="174" t="s">
        <v>164</v>
      </c>
      <c r="C6" s="175"/>
      <c r="D6" s="175"/>
      <c r="E6" s="175"/>
      <c r="F6" s="175"/>
      <c r="G6" s="175"/>
      <c r="H6" s="176"/>
    </row>
    <row r="7" spans="2:8" ht="95.25" customHeight="1" x14ac:dyDescent="0.25">
      <c r="B7" s="184" t="s">
        <v>169</v>
      </c>
      <c r="C7" s="185"/>
      <c r="D7" s="185"/>
      <c r="E7" s="185"/>
      <c r="F7" s="185"/>
      <c r="G7" s="185"/>
      <c r="H7" s="186"/>
    </row>
    <row r="8" spans="2:8" ht="16.5" x14ac:dyDescent="0.25">
      <c r="B8" s="117"/>
      <c r="C8" s="118"/>
      <c r="D8" s="118"/>
      <c r="E8" s="118"/>
      <c r="F8" s="118"/>
      <c r="G8" s="118"/>
      <c r="H8" s="119"/>
    </row>
    <row r="9" spans="2:8" ht="16.5" customHeight="1" x14ac:dyDescent="0.25">
      <c r="B9" s="177" t="s">
        <v>202</v>
      </c>
      <c r="C9" s="178"/>
      <c r="D9" s="178"/>
      <c r="E9" s="178"/>
      <c r="F9" s="178"/>
      <c r="G9" s="178"/>
      <c r="H9" s="179"/>
    </row>
    <row r="10" spans="2:8" ht="44.25" customHeight="1" x14ac:dyDescent="0.25">
      <c r="B10" s="177"/>
      <c r="C10" s="178"/>
      <c r="D10" s="178"/>
      <c r="E10" s="178"/>
      <c r="F10" s="178"/>
      <c r="G10" s="178"/>
      <c r="H10" s="179"/>
    </row>
    <row r="11" spans="2:8" ht="15.75" thickBot="1" x14ac:dyDescent="0.3">
      <c r="B11" s="106"/>
      <c r="C11" s="109"/>
      <c r="D11" s="114"/>
      <c r="E11" s="115"/>
      <c r="F11" s="115"/>
      <c r="G11" s="116"/>
      <c r="H11" s="110"/>
    </row>
    <row r="12" spans="2:8" ht="15.75" thickTop="1" x14ac:dyDescent="0.25">
      <c r="B12" s="106"/>
      <c r="C12" s="180" t="s">
        <v>165</v>
      </c>
      <c r="D12" s="181"/>
      <c r="E12" s="182" t="s">
        <v>203</v>
      </c>
      <c r="F12" s="183"/>
      <c r="G12" s="109"/>
      <c r="H12" s="110"/>
    </row>
    <row r="13" spans="2:8" ht="35.25" customHeight="1" x14ac:dyDescent="0.25">
      <c r="B13" s="106"/>
      <c r="C13" s="187" t="s">
        <v>196</v>
      </c>
      <c r="D13" s="188"/>
      <c r="E13" s="189" t="s">
        <v>201</v>
      </c>
      <c r="F13" s="190"/>
      <c r="G13" s="109"/>
      <c r="H13" s="110"/>
    </row>
    <row r="14" spans="2:8" ht="17.25" customHeight="1" x14ac:dyDescent="0.25">
      <c r="B14" s="106"/>
      <c r="C14" s="187" t="s">
        <v>197</v>
      </c>
      <c r="D14" s="188"/>
      <c r="E14" s="189" t="s">
        <v>199</v>
      </c>
      <c r="F14" s="190"/>
      <c r="G14" s="109"/>
      <c r="H14" s="110"/>
    </row>
    <row r="15" spans="2:8" ht="19.5" customHeight="1" x14ac:dyDescent="0.25">
      <c r="B15" s="106"/>
      <c r="C15" s="187" t="s">
        <v>198</v>
      </c>
      <c r="D15" s="188"/>
      <c r="E15" s="189" t="s">
        <v>200</v>
      </c>
      <c r="F15" s="190"/>
      <c r="G15" s="109"/>
      <c r="H15" s="110"/>
    </row>
    <row r="16" spans="2:8" ht="69.75" customHeight="1" x14ac:dyDescent="0.25">
      <c r="B16" s="106"/>
      <c r="C16" s="187" t="s">
        <v>167</v>
      </c>
      <c r="D16" s="188"/>
      <c r="E16" s="189" t="s">
        <v>168</v>
      </c>
      <c r="F16" s="190"/>
      <c r="G16" s="109"/>
      <c r="H16" s="110"/>
    </row>
    <row r="17" spans="2:8" ht="34.5" customHeight="1" x14ac:dyDescent="0.25">
      <c r="B17" s="106"/>
      <c r="C17" s="191" t="s">
        <v>2</v>
      </c>
      <c r="D17" s="192"/>
      <c r="E17" s="193" t="s">
        <v>210</v>
      </c>
      <c r="F17" s="194"/>
      <c r="G17" s="109"/>
      <c r="H17" s="110"/>
    </row>
    <row r="18" spans="2:8" ht="27.75" customHeight="1" x14ac:dyDescent="0.25">
      <c r="B18" s="106"/>
      <c r="C18" s="191" t="s">
        <v>3</v>
      </c>
      <c r="D18" s="192"/>
      <c r="E18" s="193" t="s">
        <v>211</v>
      </c>
      <c r="F18" s="194"/>
      <c r="G18" s="109"/>
      <c r="H18" s="110"/>
    </row>
    <row r="19" spans="2:8" ht="28.5" customHeight="1" x14ac:dyDescent="0.25">
      <c r="B19" s="106"/>
      <c r="C19" s="191" t="s">
        <v>42</v>
      </c>
      <c r="D19" s="192"/>
      <c r="E19" s="193" t="s">
        <v>212</v>
      </c>
      <c r="F19" s="194"/>
      <c r="G19" s="109"/>
      <c r="H19" s="110"/>
    </row>
    <row r="20" spans="2:8" ht="72.75" customHeight="1" x14ac:dyDescent="0.25">
      <c r="B20" s="106"/>
      <c r="C20" s="191" t="s">
        <v>1</v>
      </c>
      <c r="D20" s="192"/>
      <c r="E20" s="193" t="s">
        <v>213</v>
      </c>
      <c r="F20" s="194"/>
      <c r="G20" s="109"/>
      <c r="H20" s="110"/>
    </row>
    <row r="21" spans="2:8" ht="64.5" customHeight="1" x14ac:dyDescent="0.25">
      <c r="B21" s="106"/>
      <c r="C21" s="191" t="s">
        <v>50</v>
      </c>
      <c r="D21" s="192"/>
      <c r="E21" s="193" t="s">
        <v>171</v>
      </c>
      <c r="F21" s="194"/>
      <c r="G21" s="109"/>
      <c r="H21" s="110"/>
    </row>
    <row r="22" spans="2:8" ht="71.25" customHeight="1" x14ac:dyDescent="0.25">
      <c r="B22" s="106"/>
      <c r="C22" s="191" t="s">
        <v>170</v>
      </c>
      <c r="D22" s="192"/>
      <c r="E22" s="193" t="s">
        <v>172</v>
      </c>
      <c r="F22" s="194"/>
      <c r="G22" s="109"/>
      <c r="H22" s="110"/>
    </row>
    <row r="23" spans="2:8" ht="55.5" customHeight="1" x14ac:dyDescent="0.25">
      <c r="B23" s="106"/>
      <c r="C23" s="198" t="s">
        <v>173</v>
      </c>
      <c r="D23" s="199"/>
      <c r="E23" s="193" t="s">
        <v>174</v>
      </c>
      <c r="F23" s="194"/>
      <c r="G23" s="109"/>
      <c r="H23" s="110"/>
    </row>
    <row r="24" spans="2:8" ht="42" customHeight="1" x14ac:dyDescent="0.25">
      <c r="B24" s="106"/>
      <c r="C24" s="198" t="s">
        <v>48</v>
      </c>
      <c r="D24" s="199"/>
      <c r="E24" s="193" t="s">
        <v>175</v>
      </c>
      <c r="F24" s="194"/>
      <c r="G24" s="109"/>
      <c r="H24" s="110"/>
    </row>
    <row r="25" spans="2:8" ht="59.25" customHeight="1" x14ac:dyDescent="0.25">
      <c r="B25" s="106"/>
      <c r="C25" s="198" t="s">
        <v>163</v>
      </c>
      <c r="D25" s="199"/>
      <c r="E25" s="193" t="s">
        <v>176</v>
      </c>
      <c r="F25" s="194"/>
      <c r="G25" s="109"/>
      <c r="H25" s="110"/>
    </row>
    <row r="26" spans="2:8" ht="23.25" customHeight="1" x14ac:dyDescent="0.25">
      <c r="B26" s="106"/>
      <c r="C26" s="198" t="s">
        <v>12</v>
      </c>
      <c r="D26" s="199"/>
      <c r="E26" s="193" t="s">
        <v>177</v>
      </c>
      <c r="F26" s="194"/>
      <c r="G26" s="109"/>
      <c r="H26" s="110"/>
    </row>
    <row r="27" spans="2:8" ht="30.75" customHeight="1" x14ac:dyDescent="0.25">
      <c r="B27" s="106"/>
      <c r="C27" s="198" t="s">
        <v>181</v>
      </c>
      <c r="D27" s="199"/>
      <c r="E27" s="193" t="s">
        <v>178</v>
      </c>
      <c r="F27" s="194"/>
      <c r="G27" s="109"/>
      <c r="H27" s="110"/>
    </row>
    <row r="28" spans="2:8" ht="35.25" customHeight="1" x14ac:dyDescent="0.25">
      <c r="B28" s="106"/>
      <c r="C28" s="198" t="s">
        <v>182</v>
      </c>
      <c r="D28" s="199"/>
      <c r="E28" s="193" t="s">
        <v>179</v>
      </c>
      <c r="F28" s="194"/>
      <c r="G28" s="109"/>
      <c r="H28" s="110"/>
    </row>
    <row r="29" spans="2:8" ht="33" customHeight="1" x14ac:dyDescent="0.25">
      <c r="B29" s="106"/>
      <c r="C29" s="198" t="s">
        <v>182</v>
      </c>
      <c r="D29" s="199"/>
      <c r="E29" s="193" t="s">
        <v>179</v>
      </c>
      <c r="F29" s="194"/>
      <c r="G29" s="109"/>
      <c r="H29" s="110"/>
    </row>
    <row r="30" spans="2:8" ht="30" customHeight="1" x14ac:dyDescent="0.25">
      <c r="B30" s="106"/>
      <c r="C30" s="198" t="s">
        <v>183</v>
      </c>
      <c r="D30" s="199"/>
      <c r="E30" s="193" t="s">
        <v>180</v>
      </c>
      <c r="F30" s="194"/>
      <c r="G30" s="109"/>
      <c r="H30" s="110"/>
    </row>
    <row r="31" spans="2:8" ht="35.25" customHeight="1" x14ac:dyDescent="0.25">
      <c r="B31" s="106"/>
      <c r="C31" s="198" t="s">
        <v>184</v>
      </c>
      <c r="D31" s="199"/>
      <c r="E31" s="193" t="s">
        <v>185</v>
      </c>
      <c r="F31" s="194"/>
      <c r="G31" s="109"/>
      <c r="H31" s="110"/>
    </row>
    <row r="32" spans="2:8" ht="31.5" customHeight="1" x14ac:dyDescent="0.25">
      <c r="B32" s="106"/>
      <c r="C32" s="198" t="s">
        <v>186</v>
      </c>
      <c r="D32" s="199"/>
      <c r="E32" s="193" t="s">
        <v>187</v>
      </c>
      <c r="F32" s="194"/>
      <c r="G32" s="109"/>
      <c r="H32" s="110"/>
    </row>
    <row r="33" spans="2:8" ht="35.25" customHeight="1" x14ac:dyDescent="0.25">
      <c r="B33" s="106"/>
      <c r="C33" s="198" t="s">
        <v>188</v>
      </c>
      <c r="D33" s="199"/>
      <c r="E33" s="193" t="s">
        <v>189</v>
      </c>
      <c r="F33" s="194"/>
      <c r="G33" s="109"/>
      <c r="H33" s="110"/>
    </row>
    <row r="34" spans="2:8" ht="59.25" customHeight="1" x14ac:dyDescent="0.25">
      <c r="B34" s="106"/>
      <c r="C34" s="198" t="s">
        <v>190</v>
      </c>
      <c r="D34" s="199"/>
      <c r="E34" s="193" t="s">
        <v>191</v>
      </c>
      <c r="F34" s="194"/>
      <c r="G34" s="109"/>
      <c r="H34" s="110"/>
    </row>
    <row r="35" spans="2:8" ht="29.25" customHeight="1" x14ac:dyDescent="0.25">
      <c r="B35" s="106"/>
      <c r="C35" s="198" t="s">
        <v>29</v>
      </c>
      <c r="D35" s="199"/>
      <c r="E35" s="193" t="s">
        <v>192</v>
      </c>
      <c r="F35" s="194"/>
      <c r="G35" s="109"/>
      <c r="H35" s="110"/>
    </row>
    <row r="36" spans="2:8" ht="82.5" customHeight="1" x14ac:dyDescent="0.25">
      <c r="B36" s="106"/>
      <c r="C36" s="198" t="s">
        <v>194</v>
      </c>
      <c r="D36" s="199"/>
      <c r="E36" s="193" t="s">
        <v>193</v>
      </c>
      <c r="F36" s="194"/>
      <c r="G36" s="109"/>
      <c r="H36" s="110"/>
    </row>
    <row r="37" spans="2:8" ht="46.5" customHeight="1" x14ac:dyDescent="0.25">
      <c r="B37" s="106"/>
      <c r="C37" s="198" t="s">
        <v>39</v>
      </c>
      <c r="D37" s="199"/>
      <c r="E37" s="193" t="s">
        <v>195</v>
      </c>
      <c r="F37" s="194"/>
      <c r="G37" s="109"/>
      <c r="H37" s="110"/>
    </row>
    <row r="38" spans="2:8" ht="6.75" customHeight="1" thickBot="1" x14ac:dyDescent="0.3">
      <c r="B38" s="106"/>
      <c r="C38" s="200"/>
      <c r="D38" s="201"/>
      <c r="E38" s="202"/>
      <c r="F38" s="203"/>
      <c r="G38" s="109"/>
      <c r="H38" s="110"/>
    </row>
    <row r="39" spans="2:8" ht="15.75" thickTop="1" x14ac:dyDescent="0.25">
      <c r="B39" s="106"/>
      <c r="C39" s="107"/>
      <c r="D39" s="107"/>
      <c r="E39" s="108"/>
      <c r="F39" s="108"/>
      <c r="G39" s="109"/>
      <c r="H39" s="110"/>
    </row>
    <row r="40" spans="2:8" ht="21" customHeight="1" x14ac:dyDescent="0.25">
      <c r="B40" s="195" t="s">
        <v>204</v>
      </c>
      <c r="C40" s="196"/>
      <c r="D40" s="196"/>
      <c r="E40" s="196"/>
      <c r="F40" s="196"/>
      <c r="G40" s="196"/>
      <c r="H40" s="197"/>
    </row>
    <row r="41" spans="2:8" ht="20.25" customHeight="1" x14ac:dyDescent="0.25">
      <c r="B41" s="195" t="s">
        <v>205</v>
      </c>
      <c r="C41" s="196"/>
      <c r="D41" s="196"/>
      <c r="E41" s="196"/>
      <c r="F41" s="196"/>
      <c r="G41" s="196"/>
      <c r="H41" s="197"/>
    </row>
    <row r="42" spans="2:8" ht="20.25" customHeight="1" x14ac:dyDescent="0.25">
      <c r="B42" s="195" t="s">
        <v>206</v>
      </c>
      <c r="C42" s="196"/>
      <c r="D42" s="196"/>
      <c r="E42" s="196"/>
      <c r="F42" s="196"/>
      <c r="G42" s="196"/>
      <c r="H42" s="197"/>
    </row>
    <row r="43" spans="2:8" ht="20.25" customHeight="1" x14ac:dyDescent="0.25">
      <c r="B43" s="195" t="s">
        <v>207</v>
      </c>
      <c r="C43" s="196"/>
      <c r="D43" s="196"/>
      <c r="E43" s="196"/>
      <c r="F43" s="196"/>
      <c r="G43" s="196"/>
      <c r="H43" s="197"/>
    </row>
    <row r="44" spans="2:8" x14ac:dyDescent="0.25">
      <c r="B44" s="195" t="s">
        <v>208</v>
      </c>
      <c r="C44" s="196"/>
      <c r="D44" s="196"/>
      <c r="E44" s="196"/>
      <c r="F44" s="196"/>
      <c r="G44" s="196"/>
      <c r="H44" s="197"/>
    </row>
    <row r="45" spans="2:8" ht="15.75" thickBot="1" x14ac:dyDescent="0.3">
      <c r="B45" s="111"/>
      <c r="C45" s="112"/>
      <c r="D45" s="112"/>
      <c r="E45" s="112"/>
      <c r="F45" s="112"/>
      <c r="G45" s="112"/>
      <c r="H45" s="11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41"/>
  <sheetViews>
    <sheetView tabSelected="1" topLeftCell="AA1" zoomScale="85" zoomScaleNormal="85" workbookViewId="0">
      <selection activeCell="AL1" sqref="AL1"/>
    </sheetView>
  </sheetViews>
  <sheetFormatPr baseColWidth="10"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5703125" style="1" customWidth="1"/>
    <col min="9" max="9" width="11" style="1" bestFit="1" customWidth="1"/>
    <col min="10" max="10" width="27.28515625" style="1" bestFit="1" customWidth="1"/>
    <col min="11" max="11" width="30.5703125" style="1" hidden="1" customWidth="1"/>
    <col min="12" max="12" width="17.5703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20" style="1" customWidth="1"/>
    <col min="34" max="34" width="14.85546875" style="1" customWidth="1"/>
    <col min="35" max="35" width="18.5703125" style="1" customWidth="1"/>
    <col min="36" max="36" width="21" style="1" customWidth="1"/>
    <col min="37" max="37" width="20.85546875" style="1" customWidth="1"/>
    <col min="38" max="38" width="11.42578125" style="1" customWidth="1"/>
    <col min="39" max="16384" width="11.42578125" style="1"/>
  </cols>
  <sheetData>
    <row r="1" spans="1:68" ht="16.5" customHeight="1" thickBot="1" x14ac:dyDescent="0.35">
      <c r="A1" s="268" t="s">
        <v>144</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156" t="s">
        <v>269</v>
      </c>
      <c r="AJ1" s="157" t="s">
        <v>270</v>
      </c>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thickBot="1" x14ac:dyDescent="0.35">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158" t="s">
        <v>271</v>
      </c>
      <c r="AJ2" s="159">
        <v>3</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6.5" customHeight="1" thickBot="1" x14ac:dyDescent="0.35">
      <c r="A3" s="269"/>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158" t="s">
        <v>272</v>
      </c>
      <c r="AJ3" s="160" t="s">
        <v>273</v>
      </c>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1" t="s">
        <v>43</v>
      </c>
      <c r="B4" s="252"/>
      <c r="C4" s="245" t="s">
        <v>277</v>
      </c>
      <c r="D4" s="246"/>
      <c r="E4" s="246"/>
      <c r="F4" s="246"/>
      <c r="G4" s="246"/>
      <c r="H4" s="246"/>
      <c r="I4" s="246"/>
      <c r="J4" s="246"/>
      <c r="K4" s="246"/>
      <c r="L4" s="246"/>
      <c r="M4" s="246"/>
      <c r="N4" s="247"/>
      <c r="O4" s="248"/>
      <c r="P4" s="248"/>
      <c r="Q4" s="24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54.75" customHeight="1" x14ac:dyDescent="0.3">
      <c r="A5" s="251" t="s">
        <v>130</v>
      </c>
      <c r="B5" s="252"/>
      <c r="C5" s="256" t="s">
        <v>223</v>
      </c>
      <c r="D5" s="257"/>
      <c r="E5" s="257"/>
      <c r="F5" s="257"/>
      <c r="G5" s="257"/>
      <c r="H5" s="257"/>
      <c r="I5" s="257"/>
      <c r="J5" s="257"/>
      <c r="K5" s="257"/>
      <c r="L5" s="257"/>
      <c r="M5" s="257"/>
      <c r="N5" s="258"/>
      <c r="O5" s="8"/>
      <c r="P5" s="8"/>
      <c r="Q5" s="8"/>
      <c r="R5" s="8"/>
      <c r="S5" s="8"/>
      <c r="T5" s="8"/>
      <c r="U5" s="8"/>
      <c r="V5" s="8"/>
      <c r="W5" s="8"/>
      <c r="X5" s="8"/>
      <c r="Y5" s="8"/>
      <c r="Z5" s="8"/>
      <c r="AA5" s="8"/>
      <c r="AB5" s="8"/>
      <c r="AC5" s="8"/>
      <c r="AD5" s="8"/>
      <c r="AE5" s="8"/>
      <c r="AF5" s="8"/>
      <c r="AG5" s="8"/>
      <c r="AH5" s="8"/>
      <c r="AI5" s="8"/>
      <c r="AJ5" s="161"/>
      <c r="AK5" s="162"/>
      <c r="AL5" s="162"/>
      <c r="AM5" s="163"/>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51" t="s">
        <v>44</v>
      </c>
      <c r="B6" s="252"/>
      <c r="C6" s="256" t="s">
        <v>224</v>
      </c>
      <c r="D6" s="257"/>
      <c r="E6" s="257"/>
      <c r="F6" s="257"/>
      <c r="G6" s="257"/>
      <c r="H6" s="257"/>
      <c r="I6" s="257"/>
      <c r="J6" s="257"/>
      <c r="K6" s="257"/>
      <c r="L6" s="257"/>
      <c r="M6" s="257"/>
      <c r="N6" s="258"/>
      <c r="O6" s="8"/>
      <c r="P6" s="8"/>
      <c r="Q6" s="8"/>
      <c r="R6" s="8"/>
      <c r="S6" s="8"/>
      <c r="T6" s="8"/>
      <c r="U6" s="8"/>
      <c r="V6" s="8"/>
      <c r="W6" s="8"/>
      <c r="X6" s="8"/>
      <c r="Y6" s="8"/>
      <c r="Z6" s="8"/>
      <c r="AA6" s="8"/>
      <c r="AB6" s="8"/>
      <c r="AC6" s="8"/>
      <c r="AD6" s="8"/>
      <c r="AE6" s="8"/>
      <c r="AF6" s="8"/>
      <c r="AG6" s="8"/>
      <c r="AH6" s="8"/>
      <c r="AI6" s="8"/>
      <c r="AJ6" s="8"/>
      <c r="AK6" s="164"/>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65" t="s">
        <v>139</v>
      </c>
      <c r="B7" s="266"/>
      <c r="C7" s="266"/>
      <c r="D7" s="266"/>
      <c r="E7" s="266"/>
      <c r="F7" s="266"/>
      <c r="G7" s="267"/>
      <c r="H7" s="265" t="s">
        <v>140</v>
      </c>
      <c r="I7" s="266"/>
      <c r="J7" s="266"/>
      <c r="K7" s="266"/>
      <c r="L7" s="266"/>
      <c r="M7" s="266"/>
      <c r="N7" s="267"/>
      <c r="O7" s="265" t="s">
        <v>141</v>
      </c>
      <c r="P7" s="266"/>
      <c r="Q7" s="266"/>
      <c r="R7" s="266"/>
      <c r="S7" s="266"/>
      <c r="T7" s="266"/>
      <c r="U7" s="266"/>
      <c r="V7" s="266"/>
      <c r="W7" s="267"/>
      <c r="X7" s="265" t="s">
        <v>142</v>
      </c>
      <c r="Y7" s="266"/>
      <c r="Z7" s="266"/>
      <c r="AA7" s="266"/>
      <c r="AB7" s="266"/>
      <c r="AC7" s="266"/>
      <c r="AD7" s="267"/>
      <c r="AE7" s="265" t="s">
        <v>34</v>
      </c>
      <c r="AF7" s="266"/>
      <c r="AG7" s="266"/>
      <c r="AH7" s="266"/>
      <c r="AI7" s="266"/>
      <c r="AJ7" s="266"/>
      <c r="AK7" s="438" t="s">
        <v>276</v>
      </c>
      <c r="AL7" s="439"/>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3" t="s">
        <v>0</v>
      </c>
      <c r="B8" s="249" t="s">
        <v>2</v>
      </c>
      <c r="C8" s="205" t="s">
        <v>3</v>
      </c>
      <c r="D8" s="205" t="s">
        <v>42</v>
      </c>
      <c r="E8" s="255" t="s">
        <v>1</v>
      </c>
      <c r="F8" s="204" t="s">
        <v>50</v>
      </c>
      <c r="G8" s="205" t="s">
        <v>135</v>
      </c>
      <c r="H8" s="250" t="s">
        <v>33</v>
      </c>
      <c r="I8" s="209" t="s">
        <v>5</v>
      </c>
      <c r="J8" s="204" t="s">
        <v>87</v>
      </c>
      <c r="K8" s="204" t="s">
        <v>92</v>
      </c>
      <c r="L8" s="211" t="s">
        <v>45</v>
      </c>
      <c r="M8" s="209" t="s">
        <v>5</v>
      </c>
      <c r="N8" s="205" t="s">
        <v>48</v>
      </c>
      <c r="O8" s="222" t="s">
        <v>11</v>
      </c>
      <c r="P8" s="212" t="s">
        <v>163</v>
      </c>
      <c r="Q8" s="204" t="s">
        <v>12</v>
      </c>
      <c r="R8" s="212" t="s">
        <v>8</v>
      </c>
      <c r="S8" s="212"/>
      <c r="T8" s="212"/>
      <c r="U8" s="212"/>
      <c r="V8" s="212"/>
      <c r="W8" s="212"/>
      <c r="X8" s="221" t="s">
        <v>138</v>
      </c>
      <c r="Y8" s="221" t="s">
        <v>46</v>
      </c>
      <c r="Z8" s="221" t="s">
        <v>5</v>
      </c>
      <c r="AA8" s="221" t="s">
        <v>47</v>
      </c>
      <c r="AB8" s="221" t="s">
        <v>5</v>
      </c>
      <c r="AC8" s="221" t="s">
        <v>49</v>
      </c>
      <c r="AD8" s="222" t="s">
        <v>29</v>
      </c>
      <c r="AE8" s="212" t="s">
        <v>221</v>
      </c>
      <c r="AF8" s="212" t="s">
        <v>35</v>
      </c>
      <c r="AG8" s="212" t="s">
        <v>36</v>
      </c>
      <c r="AH8" s="212" t="s">
        <v>38</v>
      </c>
      <c r="AI8" s="212" t="s">
        <v>37</v>
      </c>
      <c r="AJ8" s="425" t="s">
        <v>39</v>
      </c>
      <c r="AK8" s="440"/>
      <c r="AL8" s="441"/>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54"/>
      <c r="B9" s="249"/>
      <c r="C9" s="212"/>
      <c r="D9" s="212"/>
      <c r="E9" s="249"/>
      <c r="F9" s="205"/>
      <c r="G9" s="212"/>
      <c r="H9" s="205"/>
      <c r="I9" s="210"/>
      <c r="J9" s="205"/>
      <c r="K9" s="205"/>
      <c r="L9" s="210"/>
      <c r="M9" s="210"/>
      <c r="N9" s="212"/>
      <c r="O9" s="223"/>
      <c r="P9" s="212"/>
      <c r="Q9" s="205"/>
      <c r="R9" s="7" t="s">
        <v>13</v>
      </c>
      <c r="S9" s="7" t="s">
        <v>17</v>
      </c>
      <c r="T9" s="7" t="s">
        <v>28</v>
      </c>
      <c r="U9" s="7" t="s">
        <v>18</v>
      </c>
      <c r="V9" s="7" t="s">
        <v>21</v>
      </c>
      <c r="W9" s="7" t="s">
        <v>24</v>
      </c>
      <c r="X9" s="221"/>
      <c r="Y9" s="221"/>
      <c r="Z9" s="221"/>
      <c r="AA9" s="221"/>
      <c r="AB9" s="221"/>
      <c r="AC9" s="221"/>
      <c r="AD9" s="223"/>
      <c r="AE9" s="212"/>
      <c r="AF9" s="212"/>
      <c r="AG9" s="212"/>
      <c r="AH9" s="212"/>
      <c r="AI9" s="212"/>
      <c r="AJ9" s="425"/>
      <c r="AK9" s="428" t="s">
        <v>274</v>
      </c>
      <c r="AL9" s="429" t="s">
        <v>275</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24">
        <v>1</v>
      </c>
      <c r="B10" s="227"/>
      <c r="C10" s="230"/>
      <c r="D10" s="230"/>
      <c r="E10" s="230" t="s">
        <v>216</v>
      </c>
      <c r="F10" s="227"/>
      <c r="G10" s="242"/>
      <c r="H10" s="215" t="str">
        <f>IF(G10&lt;=0,"",IF(G10&lt;=2,"Muy Baja",IF(G10&lt;=24,"Baja",IF(G10&lt;=500,"Media",IF(G10&lt;=5000,"Alta","Muy Alta")))))</f>
        <v/>
      </c>
      <c r="I10" s="234" t="str">
        <f>IF(H10="","",IF(H10="Muy Baja",0.2,IF(H10="Baja",0.4,IF(H10="Media",0.6,IF(H10="Alta",0.8,IF(H10="Muy Alta",1,))))))</f>
        <v/>
      </c>
      <c r="J10" s="237"/>
      <c r="K10" s="217">
        <f>IF(NOT(ISERROR(MATCH(J10,'Tabla Impacto'!$B$221:$B$223,0))),'Tabla Impacto'!$F$223&amp;"Por favor no seleccionar los criterios de impacto(Afectación Económica o presupuestal y Pérdida Reputacional)",J10)</f>
        <v>0</v>
      </c>
      <c r="L10" s="215" t="str">
        <f>IF(OR(K10='Tabla Impacto'!$C$11,K10='Tabla Impacto'!$D$11),"Leve",IF(OR(K10='Tabla Impacto'!$C$12,K10='Tabla Impacto'!$D$12),"Menor",IF(OR(K10='Tabla Impacto'!$C$13,K10='Tabla Impacto'!$D$13),"Moderado",IF(OR(K10='Tabla Impacto'!$C$14,K10='Tabla Impacto'!$D$14),"Mayor",IF(OR(K10='Tabla Impacto'!$C$15,K10='Tabla Impacto'!$D$15),"Catastrófico","")))))</f>
        <v/>
      </c>
      <c r="M10" s="234" t="str">
        <f>IF(L10="","",IF(L10="Leve",0.2,IF(L10="Menor",0.4,IF(L10="Moderado",0.6,IF(L10="Mayor",0.8,IF(L10="Catastrófico",1,))))))</f>
        <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4" t="s">
        <v>214</v>
      </c>
      <c r="Q10" s="122" t="str">
        <f t="shared" ref="Q10:Q26" si="0">IF(OR(R10="Preventivo",R10="Detectivo"),"Probabilidad",IF(R10="Correctivo","Impacto",""))</f>
        <v/>
      </c>
      <c r="R10" s="123"/>
      <c r="S10" s="123"/>
      <c r="T10" s="135" t="str">
        <f t="shared" ref="T10:T26"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6" t="str">
        <f t="shared" ref="Z10:Z26" si="2">+X10</f>
        <v/>
      </c>
      <c r="AA10" s="126" t="str">
        <f>IFERROR(IF(AB10="","",IF(AB10&lt;=0.2,"Leve",IF(AB10&lt;=0.4,"Menor",IF(AB10&lt;=0.6,"Moderado",IF(AB10&lt;=0.8,"Mayor","Catastrófico"))))),"")</f>
        <v/>
      </c>
      <c r="AB10" s="135" t="str">
        <f>IFERROR(IF(Q10="Impacto",(M10-(+M10*T10)),IF(Q10="Probabilidad",M10,"")),"")</f>
        <v/>
      </c>
      <c r="AC10" s="128" t="str">
        <f t="shared" ref="AC10:AC26"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7"/>
      <c r="AF10" s="138"/>
      <c r="AG10" s="139"/>
      <c r="AH10" s="139"/>
      <c r="AI10" s="137"/>
      <c r="AJ10" s="426"/>
      <c r="AK10" s="436"/>
      <c r="AL10" s="437"/>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25"/>
      <c r="B11" s="228"/>
      <c r="C11" s="231"/>
      <c r="D11" s="231"/>
      <c r="E11" s="231"/>
      <c r="F11" s="228"/>
      <c r="G11" s="243"/>
      <c r="H11" s="216"/>
      <c r="I11" s="235"/>
      <c r="J11" s="238"/>
      <c r="K11" s="218">
        <f>IF(NOT(ISERROR(MATCH(J11,_xlfn.ANCHORARRAY(#REF!),0))),#REF!&amp;"Por favor no seleccionar los criterios de impacto",J11)</f>
        <v>0</v>
      </c>
      <c r="L11" s="216"/>
      <c r="M11" s="235"/>
      <c r="N11" s="220"/>
      <c r="O11" s="120">
        <v>2</v>
      </c>
      <c r="P11" s="134" t="s">
        <v>215</v>
      </c>
      <c r="Q11" s="122" t="str">
        <f t="shared" si="0"/>
        <v/>
      </c>
      <c r="R11" s="123"/>
      <c r="S11" s="123"/>
      <c r="T11" s="135" t="str">
        <f t="shared" si="1"/>
        <v/>
      </c>
      <c r="U11" s="123"/>
      <c r="V11" s="123"/>
      <c r="W11" s="123"/>
      <c r="X11" s="125" t="str">
        <f>IFERROR(IF(AND(Q10="Probabilidad",Q11="Probabilidad"),(Z10-(+Z10*T11)),IF(Q11="Probabilidad",(I10-(+I10*T11)),IF(Q11="Impacto",Z10,""))),"")</f>
        <v/>
      </c>
      <c r="Y11" s="126" t="str">
        <f t="shared" ref="Y11:Y38" si="4">IFERROR(IF(X11="","",IF(X11&lt;=0.2,"Muy Baja",IF(X11&lt;=0.4,"Baja",IF(X11&lt;=0.6,"Media",IF(X11&lt;=0.8,"Alta","Muy Alta"))))),"")</f>
        <v/>
      </c>
      <c r="Z11" s="136" t="str">
        <f t="shared" si="2"/>
        <v/>
      </c>
      <c r="AA11" s="126" t="str">
        <f t="shared" ref="AA11:AA38" si="5">IFERROR(IF(AB11="","",IF(AB11&lt;=0.2,"Leve",IF(AB11&lt;=0.4,"Menor",IF(AB11&lt;=0.6,"Moderado",IF(AB11&lt;=0.8,"Mayor","Catastrófico"))))),"")</f>
        <v/>
      </c>
      <c r="AB11" s="135" t="str">
        <f>IFERROR(IF(AND(Q10="Impacto",Q11="Impacto"),(AB10-(+AB10*T11)),IF(Q11="Impacto",(M10-(+M10*T11)),IF(Q11="Probabilidad",AB10,""))),"")</f>
        <v/>
      </c>
      <c r="AC11" s="128" t="str">
        <f t="shared" si="3"/>
        <v/>
      </c>
      <c r="AD11" s="129"/>
      <c r="AE11" s="130"/>
      <c r="AF11" s="131"/>
      <c r="AG11" s="132"/>
      <c r="AH11" s="132"/>
      <c r="AI11" s="130"/>
      <c r="AJ11" s="427"/>
      <c r="AK11" s="424"/>
      <c r="AL11" s="430"/>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25"/>
      <c r="B12" s="228"/>
      <c r="C12" s="231"/>
      <c r="D12" s="231"/>
      <c r="E12" s="231"/>
      <c r="F12" s="228"/>
      <c r="G12" s="243"/>
      <c r="H12" s="216"/>
      <c r="I12" s="235"/>
      <c r="J12" s="238"/>
      <c r="K12" s="218">
        <f>IF(NOT(ISERROR(MATCH(J12,_xlfn.ANCHORARRAY(#REF!),0))),#REF!&amp;"Por favor no seleccionar los criterios de impacto",J12)</f>
        <v>0</v>
      </c>
      <c r="L12" s="216"/>
      <c r="M12" s="235"/>
      <c r="N12" s="220"/>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427"/>
      <c r="AK12" s="424"/>
      <c r="AL12" s="430"/>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25"/>
      <c r="B13" s="228"/>
      <c r="C13" s="231"/>
      <c r="D13" s="231"/>
      <c r="E13" s="231"/>
      <c r="F13" s="228"/>
      <c r="G13" s="243"/>
      <c r="H13" s="216"/>
      <c r="I13" s="235"/>
      <c r="J13" s="238"/>
      <c r="K13" s="218">
        <f>IF(NOT(ISERROR(MATCH(J13,_xlfn.ANCHORARRAY(#REF!),0))),#REF!&amp;"Por favor no seleccionar los criterios de impacto",J13)</f>
        <v>0</v>
      </c>
      <c r="L13" s="216"/>
      <c r="M13" s="235"/>
      <c r="N13" s="220"/>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427"/>
      <c r="AK13" s="424"/>
      <c r="AL13" s="430"/>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25"/>
      <c r="B14" s="228"/>
      <c r="C14" s="231"/>
      <c r="D14" s="231"/>
      <c r="E14" s="231"/>
      <c r="F14" s="228"/>
      <c r="G14" s="243"/>
      <c r="H14" s="216"/>
      <c r="I14" s="235"/>
      <c r="J14" s="238"/>
      <c r="K14" s="218">
        <f>IF(NOT(ISERROR(MATCH(J14,_xlfn.ANCHORARRAY(#REF!),0))),#REF!&amp;"Por favor no seleccionar los criterios de impacto",J14)</f>
        <v>0</v>
      </c>
      <c r="L14" s="216"/>
      <c r="M14" s="235"/>
      <c r="N14" s="220"/>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427"/>
      <c r="AK14" s="424"/>
      <c r="AL14" s="430"/>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 hidden="1" customHeight="1" x14ac:dyDescent="0.3">
      <c r="A15" s="226"/>
      <c r="B15" s="229"/>
      <c r="C15" s="232"/>
      <c r="D15" s="232"/>
      <c r="E15" s="232"/>
      <c r="F15" s="229"/>
      <c r="G15" s="244"/>
      <c r="H15" s="241"/>
      <c r="I15" s="236"/>
      <c r="J15" s="239"/>
      <c r="K15" s="240">
        <f>IF(NOT(ISERROR(MATCH(J15,_xlfn.ANCHORARRAY(#REF!),0))),I19&amp;"Por favor no seleccionar los criterios de impacto",J15)</f>
        <v>0</v>
      </c>
      <c r="L15" s="241"/>
      <c r="M15" s="236"/>
      <c r="N15" s="233"/>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427"/>
      <c r="AK15" s="424"/>
      <c r="AL15" s="430"/>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52.5" customHeight="1" x14ac:dyDescent="0.3">
      <c r="A16" s="224">
        <v>2</v>
      </c>
      <c r="B16" s="259" t="s">
        <v>133</v>
      </c>
      <c r="C16" s="259" t="s">
        <v>220</v>
      </c>
      <c r="D16" s="259" t="s">
        <v>227</v>
      </c>
      <c r="E16" s="259" t="s">
        <v>225</v>
      </c>
      <c r="F16" s="259" t="s">
        <v>123</v>
      </c>
      <c r="G16" s="261">
        <v>60</v>
      </c>
      <c r="H16" s="215" t="str">
        <f>IF(G16&lt;=0,"",IF(G16&lt;=2,"Muy Baja",IF(G16&lt;=24,"Baja",IF(G16&lt;=500,"Media",IF(G16&lt;=5000,"Alta","Muy Alta")))))</f>
        <v>Media</v>
      </c>
      <c r="I16" s="217">
        <f>IF(H16="","",IF(H16="Muy Baja",0.2,IF(H16="Baja",0.4,IF(H16="Media",0.6,IF(H16="Alta",0.8,IF(H16="Muy Alta",1,))))))</f>
        <v>0.6</v>
      </c>
      <c r="J16" s="263" t="s">
        <v>150</v>
      </c>
      <c r="K16" s="213" t="str">
        <f>IF(NOT(ISERROR(MATCH(J16,'Tabla Impacto'!$B$221:$B$223,0))),'Tabla Impacto'!$F$223&amp;"Por favor no seleccionar los criterios de impacto(Afectación Económica o presupuestal y Pérdida Reputacional)",J16)</f>
        <v xml:space="preserve">     Entre 10 y 50 SMLMV </v>
      </c>
      <c r="L16" s="215" t="str">
        <f>IF(OR(K16='Tabla Impacto'!$C$11,K16='Tabla Impacto'!$D$11),"Leve",IF(OR(K16='Tabla Impacto'!$C$12,K16='Tabla Impacto'!$D$12),"Menor",IF(OR(K16='Tabla Impacto'!$C$13,K16='Tabla Impacto'!$D$13),"Moderado",IF(OR(K16='Tabla Impacto'!$C$14,K16='Tabla Impacto'!$D$14),"Mayor",IF(OR(K16='Tabla Impacto'!$C$15,K16='Tabla Impacto'!$D$15),"Catastrófico","")))))</f>
        <v>Menor</v>
      </c>
      <c r="M16" s="217">
        <f>IF(L16="","",IF(L16="Leve",0.2,IF(L16="Menor",0.4,IF(L16="Moderado",0.6,IF(L16="Mayor",0.8,IF(L16="Catastrófico",1,))))))</f>
        <v>0.4</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0">
        <v>1</v>
      </c>
      <c r="P16" s="121" t="s">
        <v>240</v>
      </c>
      <c r="Q16" s="122" t="str">
        <f t="shared" si="0"/>
        <v>Probabilidad</v>
      </c>
      <c r="R16" s="142" t="s">
        <v>14</v>
      </c>
      <c r="S16" s="142" t="s">
        <v>9</v>
      </c>
      <c r="T16" s="124" t="str">
        <f t="shared" si="1"/>
        <v>40%</v>
      </c>
      <c r="U16" s="142" t="s">
        <v>19</v>
      </c>
      <c r="V16" s="142" t="s">
        <v>22</v>
      </c>
      <c r="W16" s="142" t="s">
        <v>119</v>
      </c>
      <c r="X16" s="143">
        <f>IFERROR(IF(Q16="Probabilidad",(I16-(+I16*T16)),IF(Q16="Impacto",I16,"")),"")</f>
        <v>0.36</v>
      </c>
      <c r="Y16" s="126" t="str">
        <f>IFERROR(IF(X16="","",IF(X16&lt;=0.2,"Muy Baja",IF(X16&lt;=0.4,"Baja",IF(X16&lt;=0.6,"Media",IF(X16&lt;=0.8,"Alta","Muy Alta"))))),"")</f>
        <v>Baja</v>
      </c>
      <c r="Z16" s="145">
        <f t="shared" si="2"/>
        <v>0.36</v>
      </c>
      <c r="AA16" s="144" t="str">
        <f>IFERROR(IF(AB16="","",IF(AB16&lt;=0.2,"Leve",IF(AB16&lt;=0.4,"Menor",IF(AB16&lt;=0.6,"Moderado",IF(AB16&lt;=0.8,"Mayor","Catastrófico"))))),"")</f>
        <v>Menor</v>
      </c>
      <c r="AB16" s="145">
        <f>IFERROR(IF(Q16="Impacto",(M16-(+M16*T16)),IF(Q16="Probabilidad",M16,"")),"")</f>
        <v>0.4</v>
      </c>
      <c r="AC16" s="146" t="str">
        <f t="shared" si="3"/>
        <v>Moderado</v>
      </c>
      <c r="AD16" s="147" t="s">
        <v>136</v>
      </c>
      <c r="AE16" s="130" t="s">
        <v>261</v>
      </c>
      <c r="AF16" s="206" t="s">
        <v>267</v>
      </c>
      <c r="AG16" s="140" t="s">
        <v>218</v>
      </c>
      <c r="AH16" s="140" t="s">
        <v>219</v>
      </c>
      <c r="AI16" s="140" t="s">
        <v>219</v>
      </c>
      <c r="AJ16" s="427" t="s">
        <v>41</v>
      </c>
      <c r="AK16" s="424"/>
      <c r="AL16" s="43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39" customHeight="1" x14ac:dyDescent="0.3">
      <c r="A17" s="225"/>
      <c r="B17" s="260"/>
      <c r="C17" s="260"/>
      <c r="D17" s="260"/>
      <c r="E17" s="260"/>
      <c r="F17" s="260"/>
      <c r="G17" s="262"/>
      <c r="H17" s="216"/>
      <c r="I17" s="218"/>
      <c r="J17" s="264"/>
      <c r="K17" s="214">
        <f>IF(NOT(ISERROR(MATCH(J17,_xlfn.ANCHORARRAY(E19),0))),#REF!&amp;"Por favor no seleccionar los criterios de impacto",J17)</f>
        <v>0</v>
      </c>
      <c r="L17" s="216"/>
      <c r="M17" s="218"/>
      <c r="N17" s="220"/>
      <c r="O17" s="120">
        <v>2</v>
      </c>
      <c r="P17" s="121" t="s">
        <v>241</v>
      </c>
      <c r="Q17" s="122" t="str">
        <f t="shared" si="0"/>
        <v>Probabilidad</v>
      </c>
      <c r="R17" s="142" t="s">
        <v>14</v>
      </c>
      <c r="S17" s="142" t="s">
        <v>9</v>
      </c>
      <c r="T17" s="124" t="str">
        <f t="shared" si="1"/>
        <v>40%</v>
      </c>
      <c r="U17" s="142" t="s">
        <v>19</v>
      </c>
      <c r="V17" s="142" t="s">
        <v>22</v>
      </c>
      <c r="W17" s="142" t="s">
        <v>119</v>
      </c>
      <c r="X17" s="143">
        <f>IFERROR(IF(AND(Q16="Probabilidad",Q17="Probabilidad"),(Z16-(+Z16*T17)),IF(Q17="Probabilidad",(I16-(+I16*T17)),IF(Q17="Impacto",Z16,""))),"")</f>
        <v>0.216</v>
      </c>
      <c r="Y17" s="126" t="str">
        <f t="shared" si="4"/>
        <v>Baja</v>
      </c>
      <c r="Z17" s="145">
        <f t="shared" si="2"/>
        <v>0.216</v>
      </c>
      <c r="AA17" s="128" t="str">
        <f t="shared" si="5"/>
        <v>Menor</v>
      </c>
      <c r="AB17" s="145">
        <f>IFERROR(IF(AND(Q16="Impacto",Q17="Impacto"),(AB16-(+AB16*T17)),IF(Q17="Impacto",(M16-(+M16*T17)),IF(Q17="Probabilidad",AB16,""))),"")</f>
        <v>0.4</v>
      </c>
      <c r="AC17" s="128" t="str">
        <f t="shared" si="3"/>
        <v>Moderado</v>
      </c>
      <c r="AD17" s="147" t="s">
        <v>136</v>
      </c>
      <c r="AE17" s="130" t="s">
        <v>266</v>
      </c>
      <c r="AF17" s="207"/>
      <c r="AG17" s="140" t="s">
        <v>218</v>
      </c>
      <c r="AH17" s="140" t="s">
        <v>219</v>
      </c>
      <c r="AI17" s="140" t="s">
        <v>219</v>
      </c>
      <c r="AJ17" s="427" t="s">
        <v>41</v>
      </c>
      <c r="AK17" s="431"/>
      <c r="AL17" s="430"/>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47.25" customHeight="1" x14ac:dyDescent="0.3">
      <c r="A18" s="225"/>
      <c r="B18" s="260"/>
      <c r="C18" s="260"/>
      <c r="D18" s="260"/>
      <c r="E18" s="260"/>
      <c r="F18" s="260"/>
      <c r="G18" s="262"/>
      <c r="H18" s="216"/>
      <c r="I18" s="218"/>
      <c r="J18" s="264"/>
      <c r="K18" s="214">
        <f>IF(NOT(ISERROR(MATCH(J18,_xlfn.ANCHORARRAY(#REF!),0))),#REF!&amp;"Por favor no seleccionar los criterios de impacto",J18)</f>
        <v>0</v>
      </c>
      <c r="L18" s="216"/>
      <c r="M18" s="218"/>
      <c r="N18" s="220"/>
      <c r="O18" s="120">
        <v>3</v>
      </c>
      <c r="P18" s="133" t="s">
        <v>241</v>
      </c>
      <c r="Q18" s="122" t="str">
        <f t="shared" ref="Q18" si="6">IF(OR(R18="Preventivo",R18="Detectivo"),"Probabilidad",IF(R18="Correctivo","Impacto",""))</f>
        <v>Probabilidad</v>
      </c>
      <c r="R18" s="142" t="s">
        <v>14</v>
      </c>
      <c r="S18" s="142" t="s">
        <v>9</v>
      </c>
      <c r="T18" s="124" t="str">
        <f t="shared" ref="T18" si="7">IF(AND(R18="Preventivo",S18="Automático"),"50%",IF(AND(R18="Preventivo",S18="Manual"),"40%",IF(AND(R18="Detectivo",S18="Automático"),"40%",IF(AND(R18="Detectivo",S18="Manual"),"30%",IF(AND(R18="Correctivo",S18="Automático"),"35%",IF(AND(R18="Correctivo",S18="Manual"),"25%",""))))))</f>
        <v>40%</v>
      </c>
      <c r="U18" s="142" t="s">
        <v>19</v>
      </c>
      <c r="V18" s="142" t="s">
        <v>22</v>
      </c>
      <c r="W18" s="142" t="s">
        <v>119</v>
      </c>
      <c r="X18" s="143">
        <f>IFERROR(IF(AND(Q17="Probabilidad",Q18="Probabilidad"),(Z17-(+Z17*T18)),IF(Q18="Probabilidad",(I17-(+I17*T18)),IF(Q18="Impacto",Z17,""))),"")</f>
        <v>0.12959999999999999</v>
      </c>
      <c r="Y18" s="126" t="str">
        <f t="shared" ref="Y18" si="8">IFERROR(IF(X18="","",IF(X18&lt;=0.2,"Muy Baja",IF(X18&lt;=0.4,"Baja",IF(X18&lt;=0.6,"Media",IF(X18&lt;=0.8,"Alta","Muy Alta"))))),"")</f>
        <v>Muy Baja</v>
      </c>
      <c r="Z18" s="145">
        <f t="shared" ref="Z18" si="9">+X18</f>
        <v>0.12959999999999999</v>
      </c>
      <c r="AA18" s="128" t="str">
        <f t="shared" ref="AA18" si="10">IFERROR(IF(AB18="","",IF(AB18&lt;=0.2,"Leve",IF(AB18&lt;=0.4,"Menor",IF(AB18&lt;=0.6,"Moderado",IF(AB18&lt;=0.8,"Mayor","Catastrófico"))))),"")</f>
        <v>Menor</v>
      </c>
      <c r="AB18" s="145">
        <f>IFERROR(IF(AND(Q17="Impacto",Q18="Impacto"),(AB17-(+AB17*T18)),IF(Q18="Impacto",(M17-(+M17*T18)),IF(Q18="Probabilidad",AB17,""))),"")</f>
        <v>0.4</v>
      </c>
      <c r="AC18" s="128" t="str">
        <f t="shared" ref="AC18" si="11">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Bajo</v>
      </c>
      <c r="AD18" s="147" t="s">
        <v>136</v>
      </c>
      <c r="AE18" s="130" t="s">
        <v>262</v>
      </c>
      <c r="AF18" s="208"/>
      <c r="AG18" s="140" t="s">
        <v>218</v>
      </c>
      <c r="AH18" s="140" t="s">
        <v>219</v>
      </c>
      <c r="AI18" s="140" t="s">
        <v>219</v>
      </c>
      <c r="AJ18" s="427" t="s">
        <v>41</v>
      </c>
      <c r="AK18" s="431"/>
      <c r="AL18" s="430"/>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62.25" customHeight="1" x14ac:dyDescent="0.3">
      <c r="A19" s="150">
        <v>4</v>
      </c>
      <c r="B19" s="148" t="s">
        <v>133</v>
      </c>
      <c r="C19" s="148" t="s">
        <v>217</v>
      </c>
      <c r="D19" s="148" t="s">
        <v>228</v>
      </c>
      <c r="E19" s="153" t="s">
        <v>226</v>
      </c>
      <c r="F19" s="148" t="s">
        <v>123</v>
      </c>
      <c r="G19" s="154">
        <v>60</v>
      </c>
      <c r="H19" s="149" t="str">
        <f>IF(G19&lt;=0,"",IF(G19&lt;=2,"Muy Baja",IF(G19&lt;=24,"Baja",IF(G19&lt;=500,"Media",IF(G19&lt;=5000,"Alta","Muy Alta")))))</f>
        <v>Media</v>
      </c>
      <c r="I19" s="152">
        <f>IF(H19="","",IF(H19="Muy Baja",0.2,IF(H19="Baja",0.4,IF(H19="Media",0.6,IF(H19="Alta",0.8,IF(H19="Muy Alta",1,))))))</f>
        <v>0.6</v>
      </c>
      <c r="J19" s="155" t="s">
        <v>151</v>
      </c>
      <c r="K19" s="152" t="str">
        <f>IF(NOT(ISERROR(MATCH(J19,'Tabla Impacto'!$B$221:$B$223,0))),'Tabla Impacto'!$F$223&amp;"Por favor no seleccionar los criterios de impacto(Afectación Económica o presupuestal y Pérdida Reputacional)",J19)</f>
        <v xml:space="preserve">     Entre 100 y 500 SMLMV </v>
      </c>
      <c r="L19" s="149" t="str">
        <f>IF(OR(K19='Tabla Impacto'!$C$11,K19='Tabla Impacto'!$D$11),"Leve",IF(OR(K19='Tabla Impacto'!$C$12,K19='Tabla Impacto'!$D$12),"Menor",IF(OR(K19='Tabla Impacto'!$C$13,K19='Tabla Impacto'!$D$13),"Moderado",IF(OR(K19='Tabla Impacto'!$C$14,K19='Tabla Impacto'!$D$14),"Mayor",IF(OR(K19='Tabla Impacto'!$C$15,K19='Tabla Impacto'!$D$15),"Catastrófico","")))))</f>
        <v>Mayor</v>
      </c>
      <c r="M19" s="152">
        <f>IF(L19="","",IF(L19="Leve",0.2,IF(L19="Menor",0.4,IF(L19="Moderado",0.6,IF(L19="Mayor",0.8,IF(L19="Catastrófico",1,))))))</f>
        <v>0.8</v>
      </c>
      <c r="N19" s="151"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120">
        <v>1</v>
      </c>
      <c r="P19" s="121" t="s">
        <v>242</v>
      </c>
      <c r="Q19" s="122" t="str">
        <f t="shared" si="0"/>
        <v>Probabilidad</v>
      </c>
      <c r="R19" s="123" t="s">
        <v>14</v>
      </c>
      <c r="S19" s="123" t="s">
        <v>9</v>
      </c>
      <c r="T19" s="124" t="str">
        <f t="shared" si="1"/>
        <v>40%</v>
      </c>
      <c r="U19" s="123" t="s">
        <v>19</v>
      </c>
      <c r="V19" s="123" t="s">
        <v>22</v>
      </c>
      <c r="W19" s="123" t="s">
        <v>119</v>
      </c>
      <c r="X19" s="125">
        <f>IFERROR(IF(Q19="Probabilidad",(I19-(+I19*T19)),IF(Q19="Impacto",I19,"")),"")</f>
        <v>0.36</v>
      </c>
      <c r="Y19" s="126" t="str">
        <f>IFERROR(IF(X19="","",IF(X19&lt;=0.2,"Muy Baja",IF(X19&lt;=0.4,"Baja",IF(X19&lt;=0.6,"Media",IF(X19&lt;=0.8,"Alta","Muy Alta"))))),"")</f>
        <v>Baja</v>
      </c>
      <c r="Z19" s="127">
        <f t="shared" si="2"/>
        <v>0.36</v>
      </c>
      <c r="AA19" s="126" t="str">
        <f>IFERROR(IF(AB19="","",IF(AB19&lt;=0.2,"Leve",IF(AB19&lt;=0.4,"Menor",IF(AB19&lt;=0.6,"Moderado",IF(AB19&lt;=0.8,"Mayor","Catastrófico"))))),"")</f>
        <v>Mayor</v>
      </c>
      <c r="AB19" s="127">
        <f>IFERROR(IF(Q19="Impacto",(M19-(+M19*T19)),IF(Q19="Probabilidad",M19,"")),"")</f>
        <v>0.8</v>
      </c>
      <c r="AC19" s="128" t="str">
        <f t="shared" si="3"/>
        <v>Alto</v>
      </c>
      <c r="AD19" s="129" t="s">
        <v>136</v>
      </c>
      <c r="AE19" s="130" t="s">
        <v>265</v>
      </c>
      <c r="AF19" s="130" t="s">
        <v>267</v>
      </c>
      <c r="AG19" s="140" t="s">
        <v>218</v>
      </c>
      <c r="AH19" s="140" t="s">
        <v>222</v>
      </c>
      <c r="AI19" s="140" t="s">
        <v>222</v>
      </c>
      <c r="AJ19" s="427" t="s">
        <v>41</v>
      </c>
      <c r="AK19" s="431"/>
      <c r="AL19" s="430"/>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66" customHeight="1" x14ac:dyDescent="0.3">
      <c r="A20" s="224">
        <v>5</v>
      </c>
      <c r="B20" s="206" t="s">
        <v>134</v>
      </c>
      <c r="C20" s="206" t="s">
        <v>217</v>
      </c>
      <c r="D20" s="206" t="s">
        <v>229</v>
      </c>
      <c r="E20" s="259" t="s">
        <v>234</v>
      </c>
      <c r="F20" s="206" t="s">
        <v>123</v>
      </c>
      <c r="G20" s="261">
        <v>60</v>
      </c>
      <c r="H20" s="215" t="str">
        <f>IF(G20&lt;=0,"",IF(G20&lt;=2,"Muy Baja",IF(G20&lt;=24,"Baja",IF(G20&lt;=500,"Media",IF(G20&lt;=5000,"Alta","Muy Alta")))))</f>
        <v>Media</v>
      </c>
      <c r="I20" s="217">
        <f>IF(H20="","",IF(H20="Muy Baja",0.2,IF(H20="Baja",0.4,IF(H20="Media",0.6,IF(H20="Alta",0.8,IF(H20="Muy Alta",1,))))))</f>
        <v>0.6</v>
      </c>
      <c r="J20" s="263" t="s">
        <v>151</v>
      </c>
      <c r="K20" s="217" t="str">
        <f>IF(NOT(ISERROR(MATCH(J20,'Tabla Impacto'!$B$221:$B$223,0))),'Tabla Impacto'!$F$223&amp;"Por favor no seleccionar los criterios de impacto(Afectación Económica o presupuestal y Pérdida Reputacional)",J20)</f>
        <v xml:space="preserve">     Entre 100 y 500 SMLMV </v>
      </c>
      <c r="L20" s="215" t="str">
        <f>IF(OR(K20='Tabla Impacto'!$C$11,K20='Tabla Impacto'!$D$11),"Leve",IF(OR(K20='Tabla Impacto'!$C$12,K20='Tabla Impacto'!$D$12),"Menor",IF(OR(K20='Tabla Impacto'!$C$13,K20='Tabla Impacto'!$D$13),"Moderado",IF(OR(K20='Tabla Impacto'!$C$14,K20='Tabla Impacto'!$D$14),"Mayor",IF(OR(K20='Tabla Impacto'!$C$15,K20='Tabla Impacto'!$D$15),"Catastrófico","")))))</f>
        <v>Mayor</v>
      </c>
      <c r="M20" s="217">
        <f>IF(L20="","",IF(L20="Leve",0.2,IF(L20="Menor",0.4,IF(L20="Moderado",0.6,IF(L20="Mayor",0.8,IF(L20="Catastrófico",1,))))))</f>
        <v>0.8</v>
      </c>
      <c r="N20" s="219"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Alto</v>
      </c>
      <c r="O20" s="120">
        <v>1</v>
      </c>
      <c r="P20" s="121" t="s">
        <v>243</v>
      </c>
      <c r="Q20" s="122" t="str">
        <f t="shared" si="0"/>
        <v>Probabilidad</v>
      </c>
      <c r="R20" s="123" t="s">
        <v>15</v>
      </c>
      <c r="S20" s="123" t="s">
        <v>9</v>
      </c>
      <c r="T20" s="124" t="str">
        <f t="shared" si="1"/>
        <v>30%</v>
      </c>
      <c r="U20" s="123" t="s">
        <v>19</v>
      </c>
      <c r="V20" s="123" t="s">
        <v>22</v>
      </c>
      <c r="W20" s="123" t="s">
        <v>119</v>
      </c>
      <c r="X20" s="125">
        <f>IFERROR(IF(Q20="Probabilidad",(I20-(+I20*T20)),IF(Q20="Impacto",I20,"")),"")</f>
        <v>0.42</v>
      </c>
      <c r="Y20" s="126" t="str">
        <f>IFERROR(IF(X20="","",IF(X20&lt;=0.2,"Muy Baja",IF(X20&lt;=0.4,"Baja",IF(X20&lt;=0.6,"Media",IF(X20&lt;=0.8,"Alta","Muy Alta"))))),"")</f>
        <v>Media</v>
      </c>
      <c r="Z20" s="127">
        <f t="shared" si="2"/>
        <v>0.42</v>
      </c>
      <c r="AA20" s="126" t="str">
        <f>IFERROR(IF(AB20="","",IF(AB20&lt;=0.2,"Leve",IF(AB20&lt;=0.4,"Menor",IF(AB20&lt;=0.6,"Moderado",IF(AB20&lt;=0.8,"Mayor","Catastrófico"))))),"")</f>
        <v>Mayor</v>
      </c>
      <c r="AB20" s="127">
        <f>IFERROR(IF(Q20="Impacto",(M20-(+M20*T20)),IF(Q20="Probabilidad",M20,"")),"")</f>
        <v>0.8</v>
      </c>
      <c r="AC20" s="128" t="str">
        <f t="shared" si="3"/>
        <v>Alto</v>
      </c>
      <c r="AD20" s="129" t="s">
        <v>136</v>
      </c>
      <c r="AE20" s="130" t="s">
        <v>259</v>
      </c>
      <c r="AF20" s="206" t="s">
        <v>267</v>
      </c>
      <c r="AG20" s="140" t="s">
        <v>218</v>
      </c>
      <c r="AH20" s="132" t="s">
        <v>219</v>
      </c>
      <c r="AI20" s="140" t="s">
        <v>219</v>
      </c>
      <c r="AJ20" s="427" t="s">
        <v>41</v>
      </c>
      <c r="AK20" s="431"/>
      <c r="AL20" s="430"/>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75" customHeight="1" x14ac:dyDescent="0.3">
      <c r="A21" s="225"/>
      <c r="B21" s="207"/>
      <c r="C21" s="207"/>
      <c r="D21" s="207"/>
      <c r="E21" s="260"/>
      <c r="F21" s="207"/>
      <c r="G21" s="262"/>
      <c r="H21" s="216"/>
      <c r="I21" s="218"/>
      <c r="J21" s="264"/>
      <c r="K21" s="218">
        <f>IF(NOT(ISERROR(MATCH(J21,_xlfn.ANCHORARRAY(E29),0))),#REF!&amp;"Por favor no seleccionar los criterios de impacto",J21)</f>
        <v>0</v>
      </c>
      <c r="L21" s="216"/>
      <c r="M21" s="218"/>
      <c r="N21" s="220"/>
      <c r="O21" s="120">
        <v>2</v>
      </c>
      <c r="P21" s="121" t="s">
        <v>244</v>
      </c>
      <c r="Q21" s="122" t="str">
        <f t="shared" ref="Q21:Q25" si="12">IF(OR(R21="Preventivo",R21="Detectivo"),"Probabilidad",IF(R21="Correctivo","Impacto",""))</f>
        <v>Probabilidad</v>
      </c>
      <c r="R21" s="123" t="s">
        <v>15</v>
      </c>
      <c r="S21" s="123" t="s">
        <v>9</v>
      </c>
      <c r="T21" s="124" t="str">
        <f t="shared" ref="T21:T25" si="13">IF(AND(R21="Preventivo",S21="Automático"),"50%",IF(AND(R21="Preventivo",S21="Manual"),"40%",IF(AND(R21="Detectivo",S21="Automático"),"40%",IF(AND(R21="Detectivo",S21="Manual"),"30%",IF(AND(R21="Correctivo",S21="Automático"),"35%",IF(AND(R21="Correctivo",S21="Manual"),"25%",""))))))</f>
        <v>30%</v>
      </c>
      <c r="U21" s="123" t="s">
        <v>19</v>
      </c>
      <c r="V21" s="123" t="s">
        <v>22</v>
      </c>
      <c r="W21" s="123" t="s">
        <v>119</v>
      </c>
      <c r="X21" s="125">
        <f t="shared" ref="X21:X25" si="14">IFERROR(IF(Q21="Probabilidad",(I21-(+I21*T21)),IF(Q21="Impacto",I21,"")),"")</f>
        <v>0</v>
      </c>
      <c r="Y21" s="126" t="str">
        <f t="shared" ref="Y21:Y25" si="15">IFERROR(IF(X21="","",IF(X21&lt;=0.2,"Muy Baja",IF(X21&lt;=0.4,"Baja",IF(X21&lt;=0.6,"Media",IF(X21&lt;=0.8,"Alta","Muy Alta"))))),"")</f>
        <v>Muy Baja</v>
      </c>
      <c r="Z21" s="127">
        <f t="shared" ref="Z21:Z25" si="16">+X21</f>
        <v>0</v>
      </c>
      <c r="AA21" s="126" t="str">
        <f t="shared" ref="AA21:AA25" si="17">IFERROR(IF(AB21="","",IF(AB21&lt;=0.2,"Leve",IF(AB21&lt;=0.4,"Menor",IF(AB21&lt;=0.6,"Moderado",IF(AB21&lt;=0.8,"Mayor","Catastrófico"))))),"")</f>
        <v>Leve</v>
      </c>
      <c r="AB21" s="127">
        <f t="shared" ref="AB21:AB25" si="18">IFERROR(IF(Q21="Impacto",(M21-(+M21*T21)),IF(Q21="Probabilidad",M21,"")),"")</f>
        <v>0</v>
      </c>
      <c r="AC21" s="128" t="str">
        <f t="shared" ref="AC21:AC25" si="19">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Bajo</v>
      </c>
      <c r="AD21" s="129" t="s">
        <v>136</v>
      </c>
      <c r="AE21" s="130" t="s">
        <v>260</v>
      </c>
      <c r="AF21" s="207"/>
      <c r="AG21" s="140" t="s">
        <v>218</v>
      </c>
      <c r="AH21" s="140" t="s">
        <v>219</v>
      </c>
      <c r="AI21" s="140" t="s">
        <v>219</v>
      </c>
      <c r="AJ21" s="427" t="s">
        <v>41</v>
      </c>
      <c r="AK21" s="431"/>
      <c r="AL21" s="430"/>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75" customHeight="1" x14ac:dyDescent="0.3">
      <c r="A22" s="225"/>
      <c r="B22" s="207"/>
      <c r="C22" s="207"/>
      <c r="D22" s="207"/>
      <c r="E22" s="260"/>
      <c r="F22" s="207"/>
      <c r="G22" s="262"/>
      <c r="H22" s="216"/>
      <c r="I22" s="218"/>
      <c r="J22" s="264"/>
      <c r="K22" s="218">
        <f>IF(NOT(ISERROR(MATCH(J22,_xlfn.ANCHORARRAY(#REF!),0))),#REF!&amp;"Por favor no seleccionar los criterios de impacto",J22)</f>
        <v>0</v>
      </c>
      <c r="L22" s="216"/>
      <c r="M22" s="218"/>
      <c r="N22" s="220"/>
      <c r="O22" s="120">
        <v>3</v>
      </c>
      <c r="P22" s="133" t="s">
        <v>239</v>
      </c>
      <c r="Q22" s="122" t="str">
        <f t="shared" si="12"/>
        <v>Probabilidad</v>
      </c>
      <c r="R22" s="123" t="s">
        <v>15</v>
      </c>
      <c r="S22" s="123" t="s">
        <v>9</v>
      </c>
      <c r="T22" s="124" t="str">
        <f t="shared" si="13"/>
        <v>30%</v>
      </c>
      <c r="U22" s="123" t="s">
        <v>19</v>
      </c>
      <c r="V22" s="123" t="s">
        <v>22</v>
      </c>
      <c r="W22" s="123" t="s">
        <v>119</v>
      </c>
      <c r="X22" s="125">
        <f t="shared" si="14"/>
        <v>0</v>
      </c>
      <c r="Y22" s="126" t="str">
        <f t="shared" si="15"/>
        <v>Muy Baja</v>
      </c>
      <c r="Z22" s="127">
        <f t="shared" si="16"/>
        <v>0</v>
      </c>
      <c r="AA22" s="126" t="str">
        <f t="shared" si="17"/>
        <v>Leve</v>
      </c>
      <c r="AB22" s="127">
        <f t="shared" si="18"/>
        <v>0</v>
      </c>
      <c r="AC22" s="128" t="str">
        <f t="shared" si="19"/>
        <v>Bajo</v>
      </c>
      <c r="AD22" s="129" t="s">
        <v>136</v>
      </c>
      <c r="AE22" s="130" t="s">
        <v>261</v>
      </c>
      <c r="AF22" s="207"/>
      <c r="AG22" s="140" t="s">
        <v>218</v>
      </c>
      <c r="AH22" s="140" t="s">
        <v>219</v>
      </c>
      <c r="AI22" s="140" t="s">
        <v>219</v>
      </c>
      <c r="AJ22" s="427" t="s">
        <v>41</v>
      </c>
      <c r="AK22" s="431"/>
      <c r="AL22" s="430"/>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75" customHeight="1" x14ac:dyDescent="0.3">
      <c r="A23" s="225"/>
      <c r="B23" s="207"/>
      <c r="C23" s="207"/>
      <c r="D23" s="207"/>
      <c r="E23" s="260"/>
      <c r="F23" s="207"/>
      <c r="G23" s="262"/>
      <c r="H23" s="216"/>
      <c r="I23" s="218"/>
      <c r="J23" s="264"/>
      <c r="K23" s="218">
        <f>IF(NOT(ISERROR(MATCH(J23,_xlfn.ANCHORARRAY(#REF!),0))),#REF!&amp;"Por favor no seleccionar los criterios de impacto",J23)</f>
        <v>0</v>
      </c>
      <c r="L23" s="216"/>
      <c r="M23" s="218"/>
      <c r="N23" s="220"/>
      <c r="O23" s="120">
        <v>4</v>
      </c>
      <c r="P23" s="121" t="s">
        <v>241</v>
      </c>
      <c r="Q23" s="122" t="str">
        <f t="shared" si="12"/>
        <v>Probabilidad</v>
      </c>
      <c r="R23" s="123" t="s">
        <v>15</v>
      </c>
      <c r="S23" s="123" t="s">
        <v>9</v>
      </c>
      <c r="T23" s="124" t="str">
        <f t="shared" si="13"/>
        <v>30%</v>
      </c>
      <c r="U23" s="123" t="s">
        <v>19</v>
      </c>
      <c r="V23" s="123" t="s">
        <v>22</v>
      </c>
      <c r="W23" s="123" t="s">
        <v>119</v>
      </c>
      <c r="X23" s="125">
        <f t="shared" si="14"/>
        <v>0</v>
      </c>
      <c r="Y23" s="126" t="str">
        <f t="shared" si="15"/>
        <v>Muy Baja</v>
      </c>
      <c r="Z23" s="127">
        <f t="shared" si="16"/>
        <v>0</v>
      </c>
      <c r="AA23" s="126" t="str">
        <f t="shared" si="17"/>
        <v>Leve</v>
      </c>
      <c r="AB23" s="127">
        <f t="shared" si="18"/>
        <v>0</v>
      </c>
      <c r="AC23" s="128" t="str">
        <f t="shared" si="19"/>
        <v>Bajo</v>
      </c>
      <c r="AD23" s="129" t="s">
        <v>136</v>
      </c>
      <c r="AE23" s="130" t="s">
        <v>262</v>
      </c>
      <c r="AF23" s="207"/>
      <c r="AG23" s="140" t="s">
        <v>218</v>
      </c>
      <c r="AH23" s="140" t="s">
        <v>219</v>
      </c>
      <c r="AI23" s="140" t="s">
        <v>219</v>
      </c>
      <c r="AJ23" s="427" t="s">
        <v>41</v>
      </c>
      <c r="AK23" s="431"/>
      <c r="AL23" s="430"/>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75" customHeight="1" x14ac:dyDescent="0.3">
      <c r="A24" s="225"/>
      <c r="B24" s="207"/>
      <c r="C24" s="207"/>
      <c r="D24" s="207"/>
      <c r="E24" s="260"/>
      <c r="F24" s="207"/>
      <c r="G24" s="262"/>
      <c r="H24" s="216"/>
      <c r="I24" s="218"/>
      <c r="J24" s="264"/>
      <c r="K24" s="218">
        <f>IF(NOT(ISERROR(MATCH(J24,_xlfn.ANCHORARRAY(#REF!),0))),I30&amp;"Por favor no seleccionar los criterios de impacto",J24)</f>
        <v>0</v>
      </c>
      <c r="L24" s="216"/>
      <c r="M24" s="218"/>
      <c r="N24" s="220"/>
      <c r="O24" s="120">
        <v>5</v>
      </c>
      <c r="P24" s="121" t="s">
        <v>245</v>
      </c>
      <c r="Q24" s="122" t="str">
        <f t="shared" si="12"/>
        <v>Probabilidad</v>
      </c>
      <c r="R24" s="123" t="s">
        <v>15</v>
      </c>
      <c r="S24" s="123" t="s">
        <v>9</v>
      </c>
      <c r="T24" s="124" t="str">
        <f t="shared" si="13"/>
        <v>30%</v>
      </c>
      <c r="U24" s="123" t="s">
        <v>19</v>
      </c>
      <c r="V24" s="123" t="s">
        <v>22</v>
      </c>
      <c r="W24" s="123" t="s">
        <v>119</v>
      </c>
      <c r="X24" s="125">
        <f t="shared" si="14"/>
        <v>0</v>
      </c>
      <c r="Y24" s="126" t="str">
        <f t="shared" si="15"/>
        <v>Muy Baja</v>
      </c>
      <c r="Z24" s="127">
        <f t="shared" si="16"/>
        <v>0</v>
      </c>
      <c r="AA24" s="126" t="str">
        <f t="shared" si="17"/>
        <v>Leve</v>
      </c>
      <c r="AB24" s="127">
        <f t="shared" si="18"/>
        <v>0</v>
      </c>
      <c r="AC24" s="128" t="str">
        <f t="shared" si="19"/>
        <v>Bajo</v>
      </c>
      <c r="AD24" s="129" t="s">
        <v>136</v>
      </c>
      <c r="AE24" s="130" t="s">
        <v>263</v>
      </c>
      <c r="AF24" s="207"/>
      <c r="AG24" s="140" t="s">
        <v>218</v>
      </c>
      <c r="AH24" s="140" t="s">
        <v>219</v>
      </c>
      <c r="AI24" s="140" t="s">
        <v>219</v>
      </c>
      <c r="AJ24" s="427" t="s">
        <v>41</v>
      </c>
      <c r="AK24" s="431"/>
      <c r="AL24" s="430"/>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75" customHeight="1" x14ac:dyDescent="0.3">
      <c r="A25" s="226"/>
      <c r="B25" s="208"/>
      <c r="C25" s="208"/>
      <c r="D25" s="208"/>
      <c r="E25" s="272"/>
      <c r="F25" s="208"/>
      <c r="G25" s="271"/>
      <c r="H25" s="241"/>
      <c r="I25" s="240"/>
      <c r="J25" s="270"/>
      <c r="K25" s="240">
        <f>IF(NOT(ISERROR(MATCH(J25,_xlfn.ANCHORARRAY(#REF!),0))),I31&amp;"Por favor no seleccionar los criterios de impacto",J25)</f>
        <v>0</v>
      </c>
      <c r="L25" s="241"/>
      <c r="M25" s="240"/>
      <c r="N25" s="233"/>
      <c r="O25" s="120">
        <v>6</v>
      </c>
      <c r="P25" s="121" t="s">
        <v>246</v>
      </c>
      <c r="Q25" s="122" t="str">
        <f t="shared" si="12"/>
        <v>Probabilidad</v>
      </c>
      <c r="R25" s="123" t="s">
        <v>15</v>
      </c>
      <c r="S25" s="123" t="s">
        <v>9</v>
      </c>
      <c r="T25" s="124" t="str">
        <f t="shared" si="13"/>
        <v>30%</v>
      </c>
      <c r="U25" s="123" t="s">
        <v>19</v>
      </c>
      <c r="V25" s="123" t="s">
        <v>22</v>
      </c>
      <c r="W25" s="123" t="s">
        <v>119</v>
      </c>
      <c r="X25" s="125">
        <f t="shared" si="14"/>
        <v>0</v>
      </c>
      <c r="Y25" s="126" t="str">
        <f t="shared" si="15"/>
        <v>Muy Baja</v>
      </c>
      <c r="Z25" s="127">
        <f t="shared" si="16"/>
        <v>0</v>
      </c>
      <c r="AA25" s="126" t="str">
        <f t="shared" si="17"/>
        <v>Leve</v>
      </c>
      <c r="AB25" s="127">
        <f t="shared" si="18"/>
        <v>0</v>
      </c>
      <c r="AC25" s="128" t="str">
        <f t="shared" si="19"/>
        <v>Bajo</v>
      </c>
      <c r="AD25" s="129" t="s">
        <v>136</v>
      </c>
      <c r="AE25" s="130" t="s">
        <v>264</v>
      </c>
      <c r="AF25" s="208"/>
      <c r="AG25" s="140" t="s">
        <v>218</v>
      </c>
      <c r="AH25" s="140" t="s">
        <v>219</v>
      </c>
      <c r="AI25" s="140" t="s">
        <v>219</v>
      </c>
      <c r="AJ25" s="427" t="s">
        <v>41</v>
      </c>
      <c r="AK25" s="431"/>
      <c r="AL25" s="430"/>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89.25" customHeight="1" x14ac:dyDescent="0.3">
      <c r="A26" s="224">
        <v>6</v>
      </c>
      <c r="B26" s="206" t="s">
        <v>134</v>
      </c>
      <c r="C26" s="206" t="s">
        <v>217</v>
      </c>
      <c r="D26" s="206" t="s">
        <v>230</v>
      </c>
      <c r="E26" s="259" t="s">
        <v>235</v>
      </c>
      <c r="F26" s="206" t="s">
        <v>123</v>
      </c>
      <c r="G26" s="261">
        <v>60</v>
      </c>
      <c r="H26" s="215" t="str">
        <f>IF(G26&lt;=0,"",IF(G26&lt;=2,"Muy Baja",IF(G26&lt;=24,"Baja",IF(G26&lt;=500,"Media",IF(G26&lt;=5000,"Alta","Muy Alta")))))</f>
        <v>Media</v>
      </c>
      <c r="I26" s="217">
        <f>IF(H26="","",IF(H26="Muy Baja",0.2,IF(H26="Baja",0.4,IF(H26="Media",0.6,IF(H26="Alta",0.8,IF(H26="Muy Alta",1,))))))</f>
        <v>0.6</v>
      </c>
      <c r="J26" s="263" t="s">
        <v>151</v>
      </c>
      <c r="K26" s="217" t="str">
        <f>IF(NOT(ISERROR(MATCH(J26,'Tabla Impacto'!$B$221:$B$223,0))),'Tabla Impacto'!$F$223&amp;"Por favor no seleccionar los criterios de impacto(Afectación Económica o presupuestal y Pérdida Reputacional)",J26)</f>
        <v xml:space="preserve">     Entre 100 y 500 SMLMV </v>
      </c>
      <c r="L26" s="215" t="str">
        <f>IF(OR(K26='Tabla Impacto'!$C$11,K26='Tabla Impacto'!$D$11),"Leve",IF(OR(K26='Tabla Impacto'!$C$12,K26='Tabla Impacto'!$D$12),"Menor",IF(OR(K26='Tabla Impacto'!$C$13,K26='Tabla Impacto'!$D$13),"Moderado",IF(OR(K26='Tabla Impacto'!$C$14,K26='Tabla Impacto'!$D$14),"Mayor",IF(OR(K26='Tabla Impacto'!$C$15,K26='Tabla Impacto'!$D$15),"Catastrófico","")))))</f>
        <v>Mayor</v>
      </c>
      <c r="M26" s="217">
        <f>IF(L26="","",IF(L26="Leve",0.2,IF(L26="Menor",0.4,IF(L26="Moderado",0.6,IF(L26="Mayor",0.8,IF(L26="Catastrófico",1,))))))</f>
        <v>0.8</v>
      </c>
      <c r="N26" s="219"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Alto</v>
      </c>
      <c r="O26" s="120">
        <v>1</v>
      </c>
      <c r="P26" s="141" t="s">
        <v>247</v>
      </c>
      <c r="Q26" s="122" t="str">
        <f t="shared" si="0"/>
        <v>Probabilidad</v>
      </c>
      <c r="R26" s="123" t="s">
        <v>14</v>
      </c>
      <c r="S26" s="123" t="s">
        <v>9</v>
      </c>
      <c r="T26" s="124" t="str">
        <f t="shared" si="1"/>
        <v>40%</v>
      </c>
      <c r="U26" s="123" t="s">
        <v>19</v>
      </c>
      <c r="V26" s="123" t="s">
        <v>22</v>
      </c>
      <c r="W26" s="123" t="s">
        <v>119</v>
      </c>
      <c r="X26" s="125">
        <f>IFERROR(IF(Q26="Probabilidad",(I26-(+I26*T26)),IF(Q26="Impacto",I26,"")),"")</f>
        <v>0.36</v>
      </c>
      <c r="Y26" s="126" t="str">
        <f>IFERROR(IF(X26="","",IF(X26&lt;=0.2,"Muy Baja",IF(X26&lt;=0.4,"Baja",IF(X26&lt;=0.6,"Media",IF(X26&lt;=0.8,"Alta","Muy Alta"))))),"")</f>
        <v>Baja</v>
      </c>
      <c r="Z26" s="127">
        <f t="shared" si="2"/>
        <v>0.36</v>
      </c>
      <c r="AA26" s="126" t="str">
        <f>IFERROR(IF(AB26="","",IF(AB26&lt;=0.2,"Leve",IF(AB26&lt;=0.4,"Menor",IF(AB26&lt;=0.6,"Moderado",IF(AB26&lt;=0.8,"Mayor","Catastrófico"))))),"")</f>
        <v>Mayor</v>
      </c>
      <c r="AB26" s="127">
        <f>IFERROR(IF(Q26="Impacto",(M26-(+M26*T26)),IF(Q26="Probabilidad",M26,"")),"")</f>
        <v>0.8</v>
      </c>
      <c r="AC26" s="128" t="str">
        <f t="shared" si="3"/>
        <v>Alto</v>
      </c>
      <c r="AD26" s="129"/>
      <c r="AE26" s="130" t="s">
        <v>256</v>
      </c>
      <c r="AF26" s="206" t="s">
        <v>267</v>
      </c>
      <c r="AG26" s="132" t="s">
        <v>268</v>
      </c>
      <c r="AH26" s="140" t="s">
        <v>268</v>
      </c>
      <c r="AI26" s="140" t="s">
        <v>219</v>
      </c>
      <c r="AJ26" s="427" t="s">
        <v>41</v>
      </c>
      <c r="AK26" s="431"/>
      <c r="AL26" s="430"/>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53.25" customHeight="1" x14ac:dyDescent="0.3">
      <c r="A27" s="225"/>
      <c r="B27" s="207"/>
      <c r="C27" s="207"/>
      <c r="D27" s="207"/>
      <c r="E27" s="260"/>
      <c r="F27" s="207"/>
      <c r="G27" s="262"/>
      <c r="H27" s="216"/>
      <c r="I27" s="218"/>
      <c r="J27" s="264"/>
      <c r="K27" s="218">
        <f>IF(NOT(ISERROR(MATCH(J27,_xlfn.ANCHORARRAY(#REF!),0))),#REF!&amp;"Por favor no seleccionar los criterios de impacto",J27)</f>
        <v>0</v>
      </c>
      <c r="L27" s="216"/>
      <c r="M27" s="218"/>
      <c r="N27" s="220"/>
      <c r="O27" s="120">
        <v>2</v>
      </c>
      <c r="P27" s="121" t="s">
        <v>248</v>
      </c>
      <c r="Q27" s="122" t="str">
        <f t="shared" ref="Q27:Q28" si="20">IF(OR(R27="Preventivo",R27="Detectivo"),"Probabilidad",IF(R27="Correctivo","Impacto",""))</f>
        <v>Probabilidad</v>
      </c>
      <c r="R27" s="123" t="s">
        <v>14</v>
      </c>
      <c r="S27" s="123" t="s">
        <v>9</v>
      </c>
      <c r="T27" s="124" t="str">
        <f t="shared" ref="T27:T28" si="21">IF(AND(R27="Preventivo",S27="Automático"),"50%",IF(AND(R27="Preventivo",S27="Manual"),"40%",IF(AND(R27="Detectivo",S27="Automático"),"40%",IF(AND(R27="Detectivo",S27="Manual"),"30%",IF(AND(R27="Correctivo",S27="Automático"),"35%",IF(AND(R27="Correctivo",S27="Manual"),"25%",""))))))</f>
        <v>40%</v>
      </c>
      <c r="U27" s="123" t="s">
        <v>19</v>
      </c>
      <c r="V27" s="123" t="s">
        <v>22</v>
      </c>
      <c r="W27" s="123" t="s">
        <v>119</v>
      </c>
      <c r="X27" s="125">
        <f t="shared" ref="X27:X28" si="22">IFERROR(IF(Q27="Probabilidad",(I27-(+I27*T27)),IF(Q27="Impacto",I27,"")),"")</f>
        <v>0</v>
      </c>
      <c r="Y27" s="126" t="str">
        <f t="shared" ref="Y27:Y29" si="23">IFERROR(IF(X27="","",IF(X27&lt;=0.2,"Muy Baja",IF(X27&lt;=0.4,"Baja",IF(X27&lt;=0.6,"Media",IF(X27&lt;=0.8,"Alta","Muy Alta"))))),"")</f>
        <v>Muy Baja</v>
      </c>
      <c r="Z27" s="127">
        <f t="shared" ref="Z27:Z28" si="24">+X27</f>
        <v>0</v>
      </c>
      <c r="AA27" s="126" t="str">
        <f t="shared" ref="AA27:AA29" si="25">IFERROR(IF(AB27="","",IF(AB27&lt;=0.2,"Leve",IF(AB27&lt;=0.4,"Menor",IF(AB27&lt;=0.6,"Moderado",IF(AB27&lt;=0.8,"Mayor","Catastrófico"))))),"")</f>
        <v>Leve</v>
      </c>
      <c r="AB27" s="127">
        <f t="shared" ref="AB27:AB28" si="26">IFERROR(IF(Q27="Impacto",(M27-(+M27*T27)),IF(Q27="Probabilidad",M27,"")),"")</f>
        <v>0</v>
      </c>
      <c r="AC27" s="128" t="str">
        <f t="shared" ref="AC27:AC28" si="2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Bajo</v>
      </c>
      <c r="AD27" s="129"/>
      <c r="AE27" s="130" t="s">
        <v>257</v>
      </c>
      <c r="AF27" s="207"/>
      <c r="AG27" s="140" t="s">
        <v>218</v>
      </c>
      <c r="AH27" s="140" t="s">
        <v>219</v>
      </c>
      <c r="AI27" s="140" t="s">
        <v>219</v>
      </c>
      <c r="AJ27" s="427" t="s">
        <v>41</v>
      </c>
      <c r="AK27" s="431"/>
      <c r="AL27" s="430"/>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53.25" customHeight="1" x14ac:dyDescent="0.3">
      <c r="A28" s="225"/>
      <c r="B28" s="207"/>
      <c r="C28" s="207"/>
      <c r="D28" s="207"/>
      <c r="E28" s="260"/>
      <c r="F28" s="207"/>
      <c r="G28" s="262"/>
      <c r="H28" s="216"/>
      <c r="I28" s="218"/>
      <c r="J28" s="264"/>
      <c r="K28" s="218">
        <f>IF(NOT(ISERROR(MATCH(J28,_xlfn.ANCHORARRAY(#REF!),0))),#REF!&amp;"Por favor no seleccionar los criterios de impacto",J28)</f>
        <v>0</v>
      </c>
      <c r="L28" s="216"/>
      <c r="M28" s="218"/>
      <c r="N28" s="220"/>
      <c r="O28" s="120">
        <v>3</v>
      </c>
      <c r="P28" s="121" t="s">
        <v>249</v>
      </c>
      <c r="Q28" s="122" t="str">
        <f t="shared" si="20"/>
        <v>Probabilidad</v>
      </c>
      <c r="R28" s="123" t="s">
        <v>14</v>
      </c>
      <c r="S28" s="123" t="s">
        <v>9</v>
      </c>
      <c r="T28" s="124" t="str">
        <f t="shared" si="21"/>
        <v>40%</v>
      </c>
      <c r="U28" s="123" t="s">
        <v>19</v>
      </c>
      <c r="V28" s="123" t="s">
        <v>22</v>
      </c>
      <c r="W28" s="123" t="s">
        <v>119</v>
      </c>
      <c r="X28" s="125">
        <f t="shared" si="22"/>
        <v>0</v>
      </c>
      <c r="Y28" s="126" t="str">
        <f t="shared" si="23"/>
        <v>Muy Baja</v>
      </c>
      <c r="Z28" s="127">
        <f t="shared" si="24"/>
        <v>0</v>
      </c>
      <c r="AA28" s="126" t="str">
        <f t="shared" si="25"/>
        <v>Leve</v>
      </c>
      <c r="AB28" s="127">
        <f t="shared" si="26"/>
        <v>0</v>
      </c>
      <c r="AC28" s="128" t="str">
        <f t="shared" si="27"/>
        <v>Bajo</v>
      </c>
      <c r="AD28" s="129"/>
      <c r="AE28" s="130" t="s">
        <v>258</v>
      </c>
      <c r="AF28" s="207"/>
      <c r="AG28" s="140" t="s">
        <v>218</v>
      </c>
      <c r="AH28" s="140" t="s">
        <v>219</v>
      </c>
      <c r="AI28" s="140" t="s">
        <v>219</v>
      </c>
      <c r="AJ28" s="427" t="s">
        <v>41</v>
      </c>
      <c r="AK28" s="431"/>
      <c r="AL28" s="430"/>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54.75" customHeight="1" x14ac:dyDescent="0.3">
      <c r="A29" s="224">
        <v>7</v>
      </c>
      <c r="B29" s="206" t="s">
        <v>134</v>
      </c>
      <c r="C29" s="206" t="s">
        <v>217</v>
      </c>
      <c r="D29" s="206" t="s">
        <v>231</v>
      </c>
      <c r="E29" s="259" t="s">
        <v>236</v>
      </c>
      <c r="F29" s="206" t="s">
        <v>123</v>
      </c>
      <c r="G29" s="261">
        <v>60</v>
      </c>
      <c r="H29" s="215" t="str">
        <f>IF(G29&lt;=0,"",IF(G29&lt;=2,"Muy Baja",IF(G29&lt;=24,"Baja",IF(G29&lt;=500,"Media",IF(G29&lt;=5000,"Alta","Muy Alta")))))</f>
        <v>Media</v>
      </c>
      <c r="I29" s="217">
        <f>IF(H29="","",IF(H29="Muy Baja",0.2,IF(H29="Baja",0.4,IF(H29="Media",0.6,IF(H29="Alta",0.8,IF(H29="Muy Alta",1,))))))</f>
        <v>0.6</v>
      </c>
      <c r="J29" s="263" t="s">
        <v>150</v>
      </c>
      <c r="K29" s="217" t="str">
        <f>IF(NOT(ISERROR(MATCH(J29,'Tabla Impacto'!$B$221:$B$223,0))),'Tabla Impacto'!$F$223&amp;"Por favor no seleccionar los criterios de impacto(Afectación Económica o presupuestal y Pérdida Reputacional)",J29)</f>
        <v xml:space="preserve">     Entre 10 y 50 SMLMV </v>
      </c>
      <c r="L29" s="215" t="str">
        <f>IF(OR(K29='Tabla Impacto'!$C$11,K29='Tabla Impacto'!$D$11),"Leve",IF(OR(K29='Tabla Impacto'!$C$12,K29='Tabla Impacto'!$D$12),"Menor",IF(OR(K29='Tabla Impacto'!$C$13,K29='Tabla Impacto'!$D$13),"Moderado",IF(OR(K29='Tabla Impacto'!$C$14,K29='Tabla Impacto'!$D$14),"Mayor",IF(OR(K29='Tabla Impacto'!$C$15,K29='Tabla Impacto'!$D$15),"Catastrófico","")))))</f>
        <v>Menor</v>
      </c>
      <c r="M29" s="217">
        <f>IF(L29="","",IF(L29="Leve",0.2,IF(L29="Menor",0.4,IF(L29="Moderado",0.6,IF(L29="Mayor",0.8,IF(L29="Catastrófico",1,))))))</f>
        <v>0.4</v>
      </c>
      <c r="N29" s="219"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Moderado</v>
      </c>
      <c r="O29" s="120">
        <v>1</v>
      </c>
      <c r="P29" s="121" t="s">
        <v>250</v>
      </c>
      <c r="Q29" s="122" t="str">
        <f t="shared" ref="Q29:Q38" si="28">IF(OR(R29="Preventivo",R29="Detectivo"),"Probabilidad",IF(R29="Correctivo","Impacto",""))</f>
        <v>Probabilidad</v>
      </c>
      <c r="R29" s="123" t="s">
        <v>14</v>
      </c>
      <c r="S29" s="123" t="s">
        <v>9</v>
      </c>
      <c r="T29" s="124" t="str">
        <f t="shared" ref="T29:T38" si="29">IF(AND(R29="Preventivo",S29="Automático"),"50%",IF(AND(R29="Preventivo",S29="Manual"),"40%",IF(AND(R29="Detectivo",S29="Automático"),"40%",IF(AND(R29="Detectivo",S29="Manual"),"30%",IF(AND(R29="Correctivo",S29="Automático"),"35%",IF(AND(R29="Correctivo",S29="Manual"),"25%",""))))))</f>
        <v>40%</v>
      </c>
      <c r="U29" s="123" t="s">
        <v>19</v>
      </c>
      <c r="V29" s="123" t="s">
        <v>22</v>
      </c>
      <c r="W29" s="123" t="s">
        <v>119</v>
      </c>
      <c r="X29" s="125">
        <f t="shared" ref="X29" si="30">IFERROR(IF(Q29="Probabilidad",(I29-(+I29*T29)),IF(Q29="Impacto",I29,"")),"")</f>
        <v>0.36</v>
      </c>
      <c r="Y29" s="126" t="str">
        <f t="shared" si="23"/>
        <v>Baja</v>
      </c>
      <c r="Z29" s="127">
        <f t="shared" ref="Z29:Z38" si="31">+X29</f>
        <v>0.36</v>
      </c>
      <c r="AA29" s="126" t="str">
        <f t="shared" si="25"/>
        <v>Menor</v>
      </c>
      <c r="AB29" s="127">
        <f t="shared" ref="AB29" si="32">IFERROR(IF(Q29="Impacto",(M29-(+M29*T29)),IF(Q29="Probabilidad",M29,"")),"")</f>
        <v>0.4</v>
      </c>
      <c r="AC29" s="128" t="str">
        <f t="shared" ref="AC29:AC38" si="33">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129"/>
      <c r="AE29" s="130" t="s">
        <v>253</v>
      </c>
      <c r="AF29" s="208"/>
      <c r="AG29" s="132" t="s">
        <v>268</v>
      </c>
      <c r="AH29" s="140" t="s">
        <v>219</v>
      </c>
      <c r="AI29" s="140" t="s">
        <v>219</v>
      </c>
      <c r="AJ29" s="427" t="s">
        <v>41</v>
      </c>
      <c r="AK29" s="431"/>
      <c r="AL29" s="430"/>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hidden="1" customHeight="1" x14ac:dyDescent="0.3">
      <c r="A30" s="226"/>
      <c r="B30" s="208"/>
      <c r="C30" s="208"/>
      <c r="D30" s="208"/>
      <c r="E30" s="272"/>
      <c r="F30" s="208"/>
      <c r="G30" s="271"/>
      <c r="H30" s="241"/>
      <c r="I30" s="240"/>
      <c r="J30" s="270"/>
      <c r="K30" s="240">
        <f>IF(NOT(ISERROR(MATCH(J30,_xlfn.ANCHORARRAY(#REF!),0))),I33&amp;"Por favor no seleccionar los criterios de impacto",J30)</f>
        <v>0</v>
      </c>
      <c r="L30" s="241"/>
      <c r="M30" s="240"/>
      <c r="N30" s="233"/>
      <c r="O30" s="120">
        <v>6</v>
      </c>
      <c r="P30" s="121"/>
      <c r="Q30" s="122" t="str">
        <f t="shared" si="28"/>
        <v/>
      </c>
      <c r="R30" s="123"/>
      <c r="S30" s="123"/>
      <c r="T30" s="124" t="str">
        <f t="shared" si="29"/>
        <v/>
      </c>
      <c r="U30" s="123"/>
      <c r="V30" s="123"/>
      <c r="W30" s="123"/>
      <c r="X30" s="125" t="str">
        <f>IFERROR(IF(AND(#REF!="Probabilidad",Q30="Probabilidad"),(#REF!-(+#REF!*T30)),IF(AND(#REF!="Impacto",Q30="Probabilidad"),(#REF!-(+#REF!*T30)),IF(Q30="Impacto",#REF!,""))),"")</f>
        <v/>
      </c>
      <c r="Y30" s="126" t="str">
        <f t="shared" si="4"/>
        <v/>
      </c>
      <c r="Z30" s="127" t="str">
        <f t="shared" si="31"/>
        <v/>
      </c>
      <c r="AA30" s="126" t="str">
        <f t="shared" si="5"/>
        <v/>
      </c>
      <c r="AB30" s="127" t="str">
        <f>IFERROR(IF(AND(#REF!="Impacto",Q30="Impacto"),(#REF!-(+#REF!*T30)),IF(AND(#REF!="Probabilidad",Q30="Impacto"),(#REF!-(+#REF!*T30)),IF(Q30="Probabilidad",#REF!,""))),"")</f>
        <v/>
      </c>
      <c r="AC30" s="128" t="str">
        <f t="shared" si="33"/>
        <v/>
      </c>
      <c r="AD30" s="129"/>
      <c r="AE30" s="130"/>
      <c r="AF30" s="131"/>
      <c r="AG30" s="132"/>
      <c r="AH30" s="132"/>
      <c r="AI30" s="130"/>
      <c r="AJ30" s="427"/>
      <c r="AK30" s="431"/>
      <c r="AL30" s="430"/>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63" customHeight="1" x14ac:dyDescent="0.3">
      <c r="A31" s="150">
        <v>8</v>
      </c>
      <c r="B31" s="148" t="s">
        <v>134</v>
      </c>
      <c r="C31" s="148" t="s">
        <v>217</v>
      </c>
      <c r="D31" s="148" t="s">
        <v>232</v>
      </c>
      <c r="E31" s="153" t="s">
        <v>237</v>
      </c>
      <c r="F31" s="148" t="s">
        <v>123</v>
      </c>
      <c r="G31" s="154">
        <v>80</v>
      </c>
      <c r="H31" s="149" t="str">
        <f>IF(G31&lt;=0,"",IF(G31&lt;=2,"Muy Baja",IF(G31&lt;=24,"Baja",IF(G31&lt;=500,"Media",IF(G31&lt;=5000,"Alta","Muy Alta")))))</f>
        <v>Media</v>
      </c>
      <c r="I31" s="152">
        <f>IF(H31="","",IF(H31="Muy Baja",0.2,IF(H31="Baja",0.4,IF(H31="Media",0.6,IF(H31="Alta",0.8,IF(H31="Muy Alta",1,))))))</f>
        <v>0.6</v>
      </c>
      <c r="J31" s="155" t="s">
        <v>149</v>
      </c>
      <c r="K31" s="152" t="str">
        <f>IF(NOT(ISERROR(MATCH(J31,'Tabla Impacto'!$B$221:$B$223,0))),'Tabla Impacto'!$F$223&amp;"Por favor no seleccionar los criterios de impacto(Afectación Económica o presupuestal y Pérdida Reputacional)",J31)</f>
        <v xml:space="preserve">     Entre 50 y 100 SMLMV </v>
      </c>
      <c r="L31" s="149" t="str">
        <f>IF(OR(K31='Tabla Impacto'!$C$11,K31='Tabla Impacto'!$D$11),"Leve",IF(OR(K31='Tabla Impacto'!$C$12,K31='Tabla Impacto'!$D$12),"Menor",IF(OR(K31='Tabla Impacto'!$C$13,K31='Tabla Impacto'!$D$13),"Moderado",IF(OR(K31='Tabla Impacto'!$C$14,K31='Tabla Impacto'!$D$14),"Mayor",IF(OR(K31='Tabla Impacto'!$C$15,K31='Tabla Impacto'!$D$15),"Catastrófico","")))))</f>
        <v>Moderado</v>
      </c>
      <c r="M31" s="152">
        <f>IF(L31="","",IF(L31="Leve",0.2,IF(L31="Menor",0.4,IF(L31="Moderado",0.6,IF(L31="Mayor",0.8,IF(L31="Catastrófico",1,))))))</f>
        <v>0.6</v>
      </c>
      <c r="N31" s="151"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Moderado</v>
      </c>
      <c r="O31" s="120">
        <v>1</v>
      </c>
      <c r="P31" s="121" t="s">
        <v>251</v>
      </c>
      <c r="Q31" s="122" t="str">
        <f t="shared" ref="Q31" si="34">IF(OR(R31="Preventivo",R31="Detectivo"),"Probabilidad",IF(R31="Correctivo","Impacto",""))</f>
        <v>Probabilidad</v>
      </c>
      <c r="R31" s="123" t="s">
        <v>14</v>
      </c>
      <c r="S31" s="123" t="s">
        <v>9</v>
      </c>
      <c r="T31" s="124" t="str">
        <f t="shared" ref="T31" si="35">IF(AND(R31="Preventivo",S31="Automático"),"50%",IF(AND(R31="Preventivo",S31="Manual"),"40%",IF(AND(R31="Detectivo",S31="Automático"),"40%",IF(AND(R31="Detectivo",S31="Manual"),"30%",IF(AND(R31="Correctivo",S31="Automático"),"35%",IF(AND(R31="Correctivo",S31="Manual"),"25%",""))))))</f>
        <v>40%</v>
      </c>
      <c r="U31" s="123" t="s">
        <v>19</v>
      </c>
      <c r="V31" s="123" t="s">
        <v>22</v>
      </c>
      <c r="W31" s="123" t="s">
        <v>119</v>
      </c>
      <c r="X31" s="125">
        <f t="shared" ref="X31" si="36">IFERROR(IF(Q31="Probabilidad",(I31-(+I31*T31)),IF(Q31="Impacto",I31,"")),"")</f>
        <v>0.36</v>
      </c>
      <c r="Y31" s="126" t="str">
        <f t="shared" si="4"/>
        <v>Baja</v>
      </c>
      <c r="Z31" s="127">
        <f t="shared" ref="Z31" si="37">+X31</f>
        <v>0.36</v>
      </c>
      <c r="AA31" s="126" t="str">
        <f t="shared" si="5"/>
        <v>Moderado</v>
      </c>
      <c r="AB31" s="127">
        <f t="shared" ref="AB31" si="38">IFERROR(IF(Q31="Impacto",(M31-(+M31*T31)),IF(Q31="Probabilidad",M31,"")),"")</f>
        <v>0.6</v>
      </c>
      <c r="AC31" s="128" t="str">
        <f t="shared" ref="AC31" si="39">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129"/>
      <c r="AE31" s="130" t="s">
        <v>254</v>
      </c>
      <c r="AF31" s="130" t="s">
        <v>267</v>
      </c>
      <c r="AG31" s="132" t="s">
        <v>268</v>
      </c>
      <c r="AH31" s="140" t="s">
        <v>219</v>
      </c>
      <c r="AI31" s="140" t="s">
        <v>219</v>
      </c>
      <c r="AJ31" s="427" t="s">
        <v>41</v>
      </c>
      <c r="AK31" s="431"/>
      <c r="AL31" s="430"/>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82.5" customHeight="1" x14ac:dyDescent="0.3">
      <c r="A32" s="150">
        <v>9</v>
      </c>
      <c r="B32" s="148" t="s">
        <v>134</v>
      </c>
      <c r="C32" s="148" t="s">
        <v>217</v>
      </c>
      <c r="D32" s="148" t="s">
        <v>233</v>
      </c>
      <c r="E32" s="153" t="s">
        <v>238</v>
      </c>
      <c r="F32" s="148" t="s">
        <v>123</v>
      </c>
      <c r="G32" s="154">
        <v>200</v>
      </c>
      <c r="H32" s="149" t="str">
        <f>IF(G32&lt;=0,"",IF(G32&lt;=2,"Muy Baja",IF(G32&lt;=24,"Baja",IF(G32&lt;=500,"Media",IF(G32&lt;=5000,"Alta","Muy Alta")))))</f>
        <v>Media</v>
      </c>
      <c r="I32" s="152">
        <f>IF(H32="","",IF(H32="Muy Baja",0.2,IF(H32="Baja",0.4,IF(H32="Media",0.6,IF(H32="Alta",0.8,IF(H32="Muy Alta",1,))))))</f>
        <v>0.6</v>
      </c>
      <c r="J32" s="155" t="s">
        <v>149</v>
      </c>
      <c r="K32" s="152" t="str">
        <f>IF(NOT(ISERROR(MATCH(J32,'Tabla Impacto'!$B$221:$B$223,0))),'Tabla Impacto'!$F$223&amp;"Por favor no seleccionar los criterios de impacto(Afectación Económica o presupuestal y Pérdida Reputacional)",J32)</f>
        <v xml:space="preserve">     Entre 50 y 100 SMLMV </v>
      </c>
      <c r="L32" s="149" t="str">
        <f>IF(OR(K32='Tabla Impacto'!$C$11,K32='Tabla Impacto'!$D$11),"Leve",IF(OR(K32='Tabla Impacto'!$C$12,K32='Tabla Impacto'!$D$12),"Menor",IF(OR(K32='Tabla Impacto'!$C$13,K32='Tabla Impacto'!$D$13),"Moderado",IF(OR(K32='Tabla Impacto'!$C$14,K32='Tabla Impacto'!$D$14),"Mayor",IF(OR(K32='Tabla Impacto'!$C$15,K32='Tabla Impacto'!$D$15),"Catastrófico","")))))</f>
        <v>Moderado</v>
      </c>
      <c r="M32" s="152">
        <f>IF(L32="","",IF(L32="Leve",0.2,IF(L32="Menor",0.4,IF(L32="Moderado",0.6,IF(L32="Mayor",0.8,IF(L32="Catastrófico",1,))))))</f>
        <v>0.6</v>
      </c>
      <c r="N32" s="151"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120">
        <v>1</v>
      </c>
      <c r="P32" s="121" t="s">
        <v>252</v>
      </c>
      <c r="Q32" s="122" t="str">
        <f t="shared" ref="Q32" si="40">IF(OR(R32="Preventivo",R32="Detectivo"),"Probabilidad",IF(R32="Correctivo","Impacto",""))</f>
        <v>Probabilidad</v>
      </c>
      <c r="R32" s="123" t="s">
        <v>14</v>
      </c>
      <c r="S32" s="123" t="s">
        <v>9</v>
      </c>
      <c r="T32" s="124" t="str">
        <f t="shared" ref="T32" si="41">IF(AND(R32="Preventivo",S32="Automático"),"50%",IF(AND(R32="Preventivo",S32="Manual"),"40%",IF(AND(R32="Detectivo",S32="Automático"),"40%",IF(AND(R32="Detectivo",S32="Manual"),"30%",IF(AND(R32="Correctivo",S32="Automático"),"35%",IF(AND(R32="Correctivo",S32="Manual"),"25%",""))))))</f>
        <v>40%</v>
      </c>
      <c r="U32" s="123" t="s">
        <v>19</v>
      </c>
      <c r="V32" s="123" t="s">
        <v>22</v>
      </c>
      <c r="W32" s="123" t="s">
        <v>119</v>
      </c>
      <c r="X32" s="125">
        <f t="shared" ref="X32" si="42">IFERROR(IF(Q32="Probabilidad",(I32-(+I32*T32)),IF(Q32="Impacto",I32,"")),"")</f>
        <v>0.36</v>
      </c>
      <c r="Y32" s="126" t="str">
        <f t="shared" si="4"/>
        <v>Baja</v>
      </c>
      <c r="Z32" s="127">
        <f t="shared" ref="Z32" si="43">+X32</f>
        <v>0.36</v>
      </c>
      <c r="AA32" s="126" t="str">
        <f t="shared" si="5"/>
        <v>Moderado</v>
      </c>
      <c r="AB32" s="127">
        <f t="shared" ref="AB32" si="44">IFERROR(IF(Q32="Impacto",(M32-(+M32*T32)),IF(Q32="Probabilidad",M32,"")),"")</f>
        <v>0.6</v>
      </c>
      <c r="AC32" s="128" t="str">
        <f t="shared" ref="AC32" si="45">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29"/>
      <c r="AE32" s="130" t="s">
        <v>255</v>
      </c>
      <c r="AF32" s="130" t="s">
        <v>267</v>
      </c>
      <c r="AG32" s="132" t="s">
        <v>268</v>
      </c>
      <c r="AH32" s="140" t="s">
        <v>219</v>
      </c>
      <c r="AI32" s="140" t="s">
        <v>219</v>
      </c>
      <c r="AJ32" s="427" t="s">
        <v>41</v>
      </c>
      <c r="AK32" s="431"/>
      <c r="AL32" s="430"/>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hidden="1" customHeight="1" x14ac:dyDescent="0.3">
      <c r="A33" s="224">
        <v>10</v>
      </c>
      <c r="B33" s="206"/>
      <c r="C33" s="206"/>
      <c r="D33" s="206"/>
      <c r="E33" s="259"/>
      <c r="F33" s="206"/>
      <c r="G33" s="261"/>
      <c r="H33" s="215" t="str">
        <f>IF(G33&lt;=0,"",IF(G33&lt;=2,"Muy Baja",IF(G33&lt;=24,"Baja",IF(G33&lt;=500,"Media",IF(G33&lt;=5000,"Alta","Muy Alta")))))</f>
        <v/>
      </c>
      <c r="I33" s="217" t="str">
        <f>IF(H33="","",IF(H33="Muy Baja",0.2,IF(H33="Baja",0.4,IF(H33="Media",0.6,IF(H33="Alta",0.8,IF(H33="Muy Alta",1,))))))</f>
        <v/>
      </c>
      <c r="J33" s="263"/>
      <c r="K33" s="217">
        <f>IF(NOT(ISERROR(MATCH(J33,'Tabla Impacto'!$B$221:$B$223,0))),'Tabla Impacto'!$F$223&amp;"Por favor no seleccionar los criterios de impacto(Afectación Económica o presupuestal y Pérdida Reputacional)",J33)</f>
        <v>0</v>
      </c>
      <c r="L33" s="215" t="str">
        <f>IF(OR(K33='Tabla Impacto'!$C$11,K33='Tabla Impacto'!$D$11),"Leve",IF(OR(K33='Tabla Impacto'!$C$12,K33='Tabla Impacto'!$D$12),"Menor",IF(OR(K33='Tabla Impacto'!$C$13,K33='Tabla Impacto'!$D$13),"Moderado",IF(OR(K33='Tabla Impacto'!$C$14,K33='Tabla Impacto'!$D$14),"Mayor",IF(OR(K33='Tabla Impacto'!$C$15,K33='Tabla Impacto'!$D$15),"Catastrófico","")))))</f>
        <v/>
      </c>
      <c r="M33" s="217" t="str">
        <f>IF(L33="","",IF(L33="Leve",0.2,IF(L33="Menor",0.4,IF(L33="Moderado",0.6,IF(L33="Mayor",0.8,IF(L33="Catastrófico",1,))))))</f>
        <v/>
      </c>
      <c r="N33" s="219"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0">
        <v>1</v>
      </c>
      <c r="P33" s="121"/>
      <c r="Q33" s="122" t="str">
        <f t="shared" si="28"/>
        <v/>
      </c>
      <c r="R33" s="123"/>
      <c r="S33" s="123"/>
      <c r="T33" s="124" t="str">
        <f t="shared" si="29"/>
        <v/>
      </c>
      <c r="U33" s="123"/>
      <c r="V33" s="123"/>
      <c r="W33" s="123"/>
      <c r="X33" s="125" t="str">
        <f>IFERROR(IF(Q33="Probabilidad",(I33-(+I33*T33)),IF(Q33="Impacto",I33,"")),"")</f>
        <v/>
      </c>
      <c r="Y33" s="126" t="str">
        <f>IFERROR(IF(X33="","",IF(X33&lt;=0.2,"Muy Baja",IF(X33&lt;=0.4,"Baja",IF(X33&lt;=0.6,"Media",IF(X33&lt;=0.8,"Alta","Muy Alta"))))),"")</f>
        <v/>
      </c>
      <c r="Z33" s="127" t="str">
        <f t="shared" si="31"/>
        <v/>
      </c>
      <c r="AA33" s="126" t="str">
        <f>IFERROR(IF(AB33="","",IF(AB33&lt;=0.2,"Leve",IF(AB33&lt;=0.4,"Menor",IF(AB33&lt;=0.6,"Moderado",IF(AB33&lt;=0.8,"Mayor","Catastrófico"))))),"")</f>
        <v/>
      </c>
      <c r="AB33" s="127" t="str">
        <f>IFERROR(IF(Q33="Impacto",(M33-(+M33*T33)),IF(Q33="Probabilidad",M33,"")),"")</f>
        <v/>
      </c>
      <c r="AC33" s="128" t="str">
        <f t="shared" si="33"/>
        <v/>
      </c>
      <c r="AD33" s="129"/>
      <c r="AE33" s="130"/>
      <c r="AF33" s="131"/>
      <c r="AG33" s="132"/>
      <c r="AH33" s="132"/>
      <c r="AI33" s="130"/>
      <c r="AJ33" s="427"/>
      <c r="AK33" s="431"/>
      <c r="AL33" s="430"/>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hidden="1" customHeight="1" x14ac:dyDescent="0.3">
      <c r="A34" s="225"/>
      <c r="B34" s="207"/>
      <c r="C34" s="207"/>
      <c r="D34" s="207"/>
      <c r="E34" s="260"/>
      <c r="F34" s="207"/>
      <c r="G34" s="262"/>
      <c r="H34" s="216"/>
      <c r="I34" s="218"/>
      <c r="J34" s="264"/>
      <c r="K34" s="218">
        <f>IF(NOT(ISERROR(MATCH(J34,_xlfn.ANCHORARRAY(E45),0))),I47&amp;"Por favor no seleccionar los criterios de impacto",J34)</f>
        <v>0</v>
      </c>
      <c r="L34" s="216"/>
      <c r="M34" s="218"/>
      <c r="N34" s="220"/>
      <c r="O34" s="120">
        <v>2</v>
      </c>
      <c r="P34" s="121"/>
      <c r="Q34" s="122" t="str">
        <f t="shared" si="28"/>
        <v/>
      </c>
      <c r="R34" s="123"/>
      <c r="S34" s="123"/>
      <c r="T34" s="124" t="str">
        <f t="shared" si="29"/>
        <v/>
      </c>
      <c r="U34" s="123"/>
      <c r="V34" s="123"/>
      <c r="W34" s="123"/>
      <c r="X34" s="125" t="str">
        <f>IFERROR(IF(AND(Q33="Probabilidad",Q34="Probabilidad"),(Z33-(+Z33*T34)),IF(Q34="Probabilidad",(I33-(+I33*T34)),IF(Q34="Impacto",Z33,""))),"")</f>
        <v/>
      </c>
      <c r="Y34" s="126" t="str">
        <f t="shared" si="4"/>
        <v/>
      </c>
      <c r="Z34" s="127" t="str">
        <f t="shared" si="31"/>
        <v/>
      </c>
      <c r="AA34" s="126" t="str">
        <f t="shared" si="5"/>
        <v/>
      </c>
      <c r="AB34" s="127" t="str">
        <f>IFERROR(IF(AND(Q33="Impacto",Q34="Impacto"),(AB33-(+AB33*T34)),IF(Q34="Impacto",(M33-(+M33*T34)),IF(Q34="Probabilidad",AB33,""))),"")</f>
        <v/>
      </c>
      <c r="AC34" s="128" t="str">
        <f t="shared" si="33"/>
        <v/>
      </c>
      <c r="AD34" s="129"/>
      <c r="AE34" s="130"/>
      <c r="AF34" s="131"/>
      <c r="AG34" s="132"/>
      <c r="AH34" s="132"/>
      <c r="AI34" s="130"/>
      <c r="AJ34" s="427"/>
      <c r="AK34" s="432"/>
      <c r="AL34" s="433"/>
    </row>
    <row r="35" spans="1:68" ht="151.5" hidden="1" customHeight="1" x14ac:dyDescent="0.3">
      <c r="A35" s="225"/>
      <c r="B35" s="207"/>
      <c r="C35" s="207"/>
      <c r="D35" s="207"/>
      <c r="E35" s="260"/>
      <c r="F35" s="207"/>
      <c r="G35" s="262"/>
      <c r="H35" s="216"/>
      <c r="I35" s="218"/>
      <c r="J35" s="264"/>
      <c r="K35" s="218">
        <f>IF(NOT(ISERROR(MATCH(J35,_xlfn.ANCHORARRAY(E46),0))),I48&amp;"Por favor no seleccionar los criterios de impacto",J35)</f>
        <v>0</v>
      </c>
      <c r="L35" s="216"/>
      <c r="M35" s="218"/>
      <c r="N35" s="220"/>
      <c r="O35" s="120">
        <v>3</v>
      </c>
      <c r="P35" s="133"/>
      <c r="Q35" s="122" t="str">
        <f t="shared" si="28"/>
        <v/>
      </c>
      <c r="R35" s="123"/>
      <c r="S35" s="123"/>
      <c r="T35" s="124" t="str">
        <f t="shared" si="29"/>
        <v/>
      </c>
      <c r="U35" s="123"/>
      <c r="V35" s="123"/>
      <c r="W35" s="123"/>
      <c r="X35" s="125" t="str">
        <f>IFERROR(IF(AND(Q34="Probabilidad",Q35="Probabilidad"),(Z34-(+Z34*T35)),IF(AND(Q34="Impacto",Q35="Probabilidad"),(Z33-(+Z33*T35)),IF(Q35="Impacto",Z34,""))),"")</f>
        <v/>
      </c>
      <c r="Y35" s="126" t="str">
        <f t="shared" si="4"/>
        <v/>
      </c>
      <c r="Z35" s="127" t="str">
        <f t="shared" si="31"/>
        <v/>
      </c>
      <c r="AA35" s="126" t="str">
        <f t="shared" si="5"/>
        <v/>
      </c>
      <c r="AB35" s="127" t="str">
        <f>IFERROR(IF(AND(Q34="Impacto",Q35="Impacto"),(AB34-(+AB34*T35)),IF(AND(Q34="Probabilidad",Q35="Impacto"),(AB33-(+AB33*T35)),IF(Q35="Probabilidad",AB34,""))),"")</f>
        <v/>
      </c>
      <c r="AC35" s="128" t="str">
        <f t="shared" si="33"/>
        <v/>
      </c>
      <c r="AD35" s="129"/>
      <c r="AE35" s="130"/>
      <c r="AF35" s="131"/>
      <c r="AG35" s="132"/>
      <c r="AH35" s="132"/>
      <c r="AI35" s="130"/>
      <c r="AJ35" s="427"/>
      <c r="AK35" s="432"/>
      <c r="AL35" s="433"/>
    </row>
    <row r="36" spans="1:68" ht="151.5" hidden="1" customHeight="1" x14ac:dyDescent="0.3">
      <c r="A36" s="225"/>
      <c r="B36" s="207"/>
      <c r="C36" s="207"/>
      <c r="D36" s="207"/>
      <c r="E36" s="260"/>
      <c r="F36" s="207"/>
      <c r="G36" s="262"/>
      <c r="H36" s="216"/>
      <c r="I36" s="218"/>
      <c r="J36" s="264"/>
      <c r="K36" s="218">
        <f>IF(NOT(ISERROR(MATCH(J36,_xlfn.ANCHORARRAY(E47),0))),I49&amp;"Por favor no seleccionar los criterios de impacto",J36)</f>
        <v>0</v>
      </c>
      <c r="L36" s="216"/>
      <c r="M36" s="218"/>
      <c r="N36" s="220"/>
      <c r="O36" s="120">
        <v>4</v>
      </c>
      <c r="P36" s="121"/>
      <c r="Q36" s="122" t="str">
        <f t="shared" si="28"/>
        <v/>
      </c>
      <c r="R36" s="123"/>
      <c r="S36" s="123"/>
      <c r="T36" s="124" t="str">
        <f t="shared" si="29"/>
        <v/>
      </c>
      <c r="U36" s="123"/>
      <c r="V36" s="123"/>
      <c r="W36" s="123"/>
      <c r="X36" s="125" t="str">
        <f>IFERROR(IF(AND(Q35="Probabilidad",Q36="Probabilidad"),(Z35-(+Z35*T36)),IF(AND(Q35="Impacto",Q36="Probabilidad"),(Z34-(+Z34*T36)),IF(Q36="Impacto",Z35,""))),"")</f>
        <v/>
      </c>
      <c r="Y36" s="126" t="str">
        <f t="shared" si="4"/>
        <v/>
      </c>
      <c r="Z36" s="127" t="str">
        <f t="shared" si="31"/>
        <v/>
      </c>
      <c r="AA36" s="126" t="str">
        <f t="shared" si="5"/>
        <v/>
      </c>
      <c r="AB36" s="127" t="str">
        <f>IFERROR(IF(AND(Q35="Impacto",Q36="Impacto"),(AB35-(+AB35*T36)),IF(AND(Q35="Probabilidad",Q36="Impacto"),(AB34-(+AB34*T36)),IF(Q36="Probabilidad",AB35,""))),"")</f>
        <v/>
      </c>
      <c r="AC36" s="128" t="str">
        <f t="shared" si="33"/>
        <v/>
      </c>
      <c r="AD36" s="129"/>
      <c r="AE36" s="130"/>
      <c r="AF36" s="131"/>
      <c r="AG36" s="132"/>
      <c r="AH36" s="132"/>
      <c r="AI36" s="130"/>
      <c r="AJ36" s="427"/>
      <c r="AK36" s="432"/>
      <c r="AL36" s="433"/>
    </row>
    <row r="37" spans="1:68" ht="151.5" hidden="1" customHeight="1" x14ac:dyDescent="0.3">
      <c r="A37" s="225"/>
      <c r="B37" s="207"/>
      <c r="C37" s="207"/>
      <c r="D37" s="207"/>
      <c r="E37" s="260"/>
      <c r="F37" s="207"/>
      <c r="G37" s="262"/>
      <c r="H37" s="216"/>
      <c r="I37" s="218"/>
      <c r="J37" s="264"/>
      <c r="K37" s="218">
        <f>IF(NOT(ISERROR(MATCH(J37,_xlfn.ANCHORARRAY(E48),0))),I50&amp;"Por favor no seleccionar los criterios de impacto",J37)</f>
        <v>0</v>
      </c>
      <c r="L37" s="216"/>
      <c r="M37" s="218"/>
      <c r="N37" s="220"/>
      <c r="O37" s="120">
        <v>5</v>
      </c>
      <c r="P37" s="121"/>
      <c r="Q37" s="122" t="str">
        <f t="shared" si="28"/>
        <v/>
      </c>
      <c r="R37" s="123"/>
      <c r="S37" s="123"/>
      <c r="T37" s="124" t="str">
        <f t="shared" si="29"/>
        <v/>
      </c>
      <c r="U37" s="123"/>
      <c r="V37" s="123"/>
      <c r="W37" s="123"/>
      <c r="X37" s="125" t="str">
        <f>IFERROR(IF(AND(Q36="Probabilidad",Q37="Probabilidad"),(Z36-(+Z36*T37)),IF(AND(Q36="Impacto",Q37="Probabilidad"),(Z35-(+Z35*T37)),IF(Q37="Impacto",Z36,""))),"")</f>
        <v/>
      </c>
      <c r="Y37" s="126" t="str">
        <f t="shared" si="4"/>
        <v/>
      </c>
      <c r="Z37" s="127" t="str">
        <f t="shared" si="31"/>
        <v/>
      </c>
      <c r="AA37" s="126" t="str">
        <f t="shared" si="5"/>
        <v/>
      </c>
      <c r="AB37" s="127" t="str">
        <f>IFERROR(IF(AND(Q36="Impacto",Q37="Impacto"),(AB36-(+AB36*T37)),IF(AND(Q36="Probabilidad",Q37="Impacto"),(AB35-(+AB35*T37)),IF(Q37="Probabilidad",AB36,""))),"")</f>
        <v/>
      </c>
      <c r="AC37" s="128" t="str">
        <f t="shared" si="33"/>
        <v/>
      </c>
      <c r="AD37" s="129"/>
      <c r="AE37" s="130"/>
      <c r="AF37" s="131"/>
      <c r="AG37" s="132"/>
      <c r="AH37" s="132"/>
      <c r="AI37" s="130"/>
      <c r="AJ37" s="427"/>
      <c r="AK37" s="432"/>
      <c r="AL37" s="433"/>
    </row>
    <row r="38" spans="1:68" ht="151.5" hidden="1" customHeight="1" x14ac:dyDescent="0.3">
      <c r="A38" s="226"/>
      <c r="B38" s="208"/>
      <c r="C38" s="208"/>
      <c r="D38" s="208"/>
      <c r="E38" s="272"/>
      <c r="F38" s="208"/>
      <c r="G38" s="271"/>
      <c r="H38" s="241"/>
      <c r="I38" s="240"/>
      <c r="J38" s="270"/>
      <c r="K38" s="240">
        <f>IF(NOT(ISERROR(MATCH(J38,_xlfn.ANCHORARRAY(E49),0))),I51&amp;"Por favor no seleccionar los criterios de impacto",J38)</f>
        <v>0</v>
      </c>
      <c r="L38" s="241"/>
      <c r="M38" s="240"/>
      <c r="N38" s="233"/>
      <c r="O38" s="120">
        <v>6</v>
      </c>
      <c r="P38" s="121"/>
      <c r="Q38" s="122" t="str">
        <f t="shared" si="28"/>
        <v/>
      </c>
      <c r="R38" s="123"/>
      <c r="S38" s="123"/>
      <c r="T38" s="124" t="str">
        <f t="shared" si="29"/>
        <v/>
      </c>
      <c r="U38" s="123"/>
      <c r="V38" s="123"/>
      <c r="W38" s="123"/>
      <c r="X38" s="125" t="str">
        <f>IFERROR(IF(AND(Q37="Probabilidad",Q38="Probabilidad"),(Z37-(+Z37*T38)),IF(AND(Q37="Impacto",Q38="Probabilidad"),(Z36-(+Z36*T38)),IF(Q38="Impacto",Z37,""))),"")</f>
        <v/>
      </c>
      <c r="Y38" s="126" t="str">
        <f t="shared" si="4"/>
        <v/>
      </c>
      <c r="Z38" s="127" t="str">
        <f t="shared" si="31"/>
        <v/>
      </c>
      <c r="AA38" s="126" t="str">
        <f t="shared" si="5"/>
        <v/>
      </c>
      <c r="AB38" s="127" t="str">
        <f>IFERROR(IF(AND(Q37="Impacto",Q38="Impacto"),(AB37-(+AB37*T38)),IF(AND(Q37="Probabilidad",Q38="Impacto"),(AB36-(+AB36*T38)),IF(Q38="Probabilidad",AB37,""))),"")</f>
        <v/>
      </c>
      <c r="AC38" s="128" t="str">
        <f t="shared" si="33"/>
        <v/>
      </c>
      <c r="AD38" s="129"/>
      <c r="AE38" s="130"/>
      <c r="AF38" s="131"/>
      <c r="AG38" s="132"/>
      <c r="AH38" s="132"/>
      <c r="AI38" s="130"/>
      <c r="AJ38" s="427"/>
      <c r="AK38" s="432"/>
      <c r="AL38" s="433"/>
    </row>
    <row r="39" spans="1:68" ht="49.5" customHeight="1" x14ac:dyDescent="0.3">
      <c r="A39" s="6"/>
      <c r="B39" s="273" t="s">
        <v>131</v>
      </c>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434"/>
      <c r="AL39" s="435"/>
    </row>
    <row r="41" spans="1:68" x14ac:dyDescent="0.3">
      <c r="A41" s="1"/>
      <c r="B41" s="24" t="s">
        <v>143</v>
      </c>
      <c r="C41" s="1"/>
      <c r="D41" s="1"/>
      <c r="F41" s="1"/>
    </row>
  </sheetData>
  <dataConsolidate/>
  <mergeCells count="135">
    <mergeCell ref="AK7:AL8"/>
    <mergeCell ref="B39:AJ39"/>
    <mergeCell ref="A33:A38"/>
    <mergeCell ref="B33:B38"/>
    <mergeCell ref="C33:C38"/>
    <mergeCell ref="D33:D38"/>
    <mergeCell ref="E33:E38"/>
    <mergeCell ref="F33:F38"/>
    <mergeCell ref="G33:G38"/>
    <mergeCell ref="H33:H38"/>
    <mergeCell ref="I33:I38"/>
    <mergeCell ref="J33:J38"/>
    <mergeCell ref="K33:K38"/>
    <mergeCell ref="L33:L38"/>
    <mergeCell ref="M33:M38"/>
    <mergeCell ref="N33:N38"/>
    <mergeCell ref="M29:M30"/>
    <mergeCell ref="N29:N30"/>
    <mergeCell ref="F29:F30"/>
    <mergeCell ref="G29:G30"/>
    <mergeCell ref="H29:H30"/>
    <mergeCell ref="I29:I30"/>
    <mergeCell ref="A7:G7"/>
    <mergeCell ref="H7:N7"/>
    <mergeCell ref="O7:W7"/>
    <mergeCell ref="A29:A30"/>
    <mergeCell ref="B29:B30"/>
    <mergeCell ref="C29:C30"/>
    <mergeCell ref="D29:D30"/>
    <mergeCell ref="E29:E30"/>
    <mergeCell ref="J29:J30"/>
    <mergeCell ref="K29:K30"/>
    <mergeCell ref="L29:L30"/>
    <mergeCell ref="E20:E25"/>
    <mergeCell ref="J26:J28"/>
    <mergeCell ref="K26:K28"/>
    <mergeCell ref="L26:L28"/>
    <mergeCell ref="F20:F25"/>
    <mergeCell ref="G20:G25"/>
    <mergeCell ref="H20:H25"/>
    <mergeCell ref="X7:AD7"/>
    <mergeCell ref="AE7:AJ7"/>
    <mergeCell ref="A1:AH3"/>
    <mergeCell ref="I20:I25"/>
    <mergeCell ref="J20:J25"/>
    <mergeCell ref="G26:G28"/>
    <mergeCell ref="H26:H28"/>
    <mergeCell ref="I26:I28"/>
    <mergeCell ref="K20:K25"/>
    <mergeCell ref="L20:L25"/>
    <mergeCell ref="M20:M25"/>
    <mergeCell ref="N20:N25"/>
    <mergeCell ref="M26:M28"/>
    <mergeCell ref="N26:N28"/>
    <mergeCell ref="A20:A25"/>
    <mergeCell ref="B20:B25"/>
    <mergeCell ref="C20:C25"/>
    <mergeCell ref="A26:A28"/>
    <mergeCell ref="B26:B28"/>
    <mergeCell ref="C26:C28"/>
    <mergeCell ref="D26:D28"/>
    <mergeCell ref="E26:E28"/>
    <mergeCell ref="F26:F28"/>
    <mergeCell ref="D20:D25"/>
    <mergeCell ref="F16:F18"/>
    <mergeCell ref="G16:G18"/>
    <mergeCell ref="H16:H18"/>
    <mergeCell ref="I16:I18"/>
    <mergeCell ref="J16:J18"/>
    <mergeCell ref="A16:A18"/>
    <mergeCell ref="B16:B18"/>
    <mergeCell ref="C16:C18"/>
    <mergeCell ref="D16:D18"/>
    <mergeCell ref="E16:E18"/>
    <mergeCell ref="C4:N4"/>
    <mergeCell ref="O4:Q4"/>
    <mergeCell ref="B8:B9"/>
    <mergeCell ref="N8:N9"/>
    <mergeCell ref="J8:J9"/>
    <mergeCell ref="K8:K9"/>
    <mergeCell ref="Q8:Q9"/>
    <mergeCell ref="R8:W8"/>
    <mergeCell ref="G8:G9"/>
    <mergeCell ref="H8:H9"/>
    <mergeCell ref="A4:B4"/>
    <mergeCell ref="A5:B5"/>
    <mergeCell ref="A6:B6"/>
    <mergeCell ref="A8:A9"/>
    <mergeCell ref="F8:F9"/>
    <mergeCell ref="E8:E9"/>
    <mergeCell ref="D8:D9"/>
    <mergeCell ref="C8:C9"/>
    <mergeCell ref="C5:N5"/>
    <mergeCell ref="C6:N6"/>
    <mergeCell ref="AB8:AB9"/>
    <mergeCell ref="X8:X9"/>
    <mergeCell ref="A10:A15"/>
    <mergeCell ref="B10:B15"/>
    <mergeCell ref="C10:C15"/>
    <mergeCell ref="D10:D15"/>
    <mergeCell ref="E10:E15"/>
    <mergeCell ref="N10:N15"/>
    <mergeCell ref="I10:I15"/>
    <mergeCell ref="J10:J15"/>
    <mergeCell ref="K10:K15"/>
    <mergeCell ref="L10:L15"/>
    <mergeCell ref="M10:M15"/>
    <mergeCell ref="F10:F15"/>
    <mergeCell ref="G10:G15"/>
    <mergeCell ref="H10:H15"/>
    <mergeCell ref="P8:P9"/>
    <mergeCell ref="AK9:AK10"/>
    <mergeCell ref="AL9:AL10"/>
    <mergeCell ref="AF26:AF29"/>
    <mergeCell ref="AF20:AF25"/>
    <mergeCell ref="AF16:AF18"/>
    <mergeCell ref="I8:I9"/>
    <mergeCell ref="L8:L9"/>
    <mergeCell ref="M8:M9"/>
    <mergeCell ref="AJ8:AJ9"/>
    <mergeCell ref="AI8:AI9"/>
    <mergeCell ref="AH8:AH9"/>
    <mergeCell ref="AG8:AG9"/>
    <mergeCell ref="AF8:AF9"/>
    <mergeCell ref="AE8:AE9"/>
    <mergeCell ref="K16:K18"/>
    <mergeCell ref="L16:L18"/>
    <mergeCell ref="M16:M18"/>
    <mergeCell ref="N16:N18"/>
    <mergeCell ref="AA8:AA9"/>
    <mergeCell ref="Y8:Y9"/>
    <mergeCell ref="Z8:Z9"/>
    <mergeCell ref="AD8:AD9"/>
    <mergeCell ref="O8:O9"/>
    <mergeCell ref="AC8:AC9"/>
  </mergeCells>
  <conditionalFormatting sqref="H10">
    <cfRule type="cellIs" dxfId="87" priority="414" operator="equal">
      <formula>"Muy Baja"</formula>
    </cfRule>
    <cfRule type="cellIs" dxfId="86" priority="410" operator="equal">
      <formula>"Muy Alta"</formula>
    </cfRule>
    <cfRule type="cellIs" dxfId="85" priority="411" operator="equal">
      <formula>"Alta"</formula>
    </cfRule>
    <cfRule type="cellIs" dxfId="84" priority="412" operator="equal">
      <formula>"Media"</formula>
    </cfRule>
    <cfRule type="cellIs" dxfId="83" priority="413" operator="equal">
      <formula>"Baja"</formula>
    </cfRule>
  </conditionalFormatting>
  <conditionalFormatting sqref="H16">
    <cfRule type="cellIs" dxfId="82" priority="82" operator="equal">
      <formula>"Muy Baja"</formula>
    </cfRule>
    <cfRule type="cellIs" dxfId="81" priority="78" operator="equal">
      <formula>"Muy Alta"</formula>
    </cfRule>
    <cfRule type="cellIs" dxfId="80" priority="79" operator="equal">
      <formula>"Alta"</formula>
    </cfRule>
    <cfRule type="cellIs" dxfId="79" priority="80" operator="equal">
      <formula>"Media"</formula>
    </cfRule>
    <cfRule type="cellIs" dxfId="78" priority="81" operator="equal">
      <formula>"Baja"</formula>
    </cfRule>
  </conditionalFormatting>
  <conditionalFormatting sqref="H19:H20">
    <cfRule type="cellIs" dxfId="77" priority="258" operator="equal">
      <formula>"Media"</formula>
    </cfRule>
    <cfRule type="cellIs" dxfId="76" priority="256" operator="equal">
      <formula>"Muy Alta"</formula>
    </cfRule>
    <cfRule type="cellIs" dxfId="75" priority="260" operator="equal">
      <formula>"Muy Baja"</formula>
    </cfRule>
    <cfRule type="cellIs" dxfId="74" priority="259" operator="equal">
      <formula>"Baja"</formula>
    </cfRule>
    <cfRule type="cellIs" dxfId="73" priority="257" operator="equal">
      <formula>"Alta"</formula>
    </cfRule>
  </conditionalFormatting>
  <conditionalFormatting sqref="H26">
    <cfRule type="cellIs" dxfId="72" priority="232" operator="equal">
      <formula>"Muy Baja"</formula>
    </cfRule>
    <cfRule type="cellIs" dxfId="71" priority="231" operator="equal">
      <formula>"Baja"</formula>
    </cfRule>
    <cfRule type="cellIs" dxfId="70" priority="230" operator="equal">
      <formula>"Media"</formula>
    </cfRule>
    <cfRule type="cellIs" dxfId="69" priority="229" operator="equal">
      <formula>"Alta"</formula>
    </cfRule>
    <cfRule type="cellIs" dxfId="68" priority="228" operator="equal">
      <formula>"Muy Alta"</formula>
    </cfRule>
  </conditionalFormatting>
  <conditionalFormatting sqref="H29">
    <cfRule type="cellIs" dxfId="67" priority="201" operator="equal">
      <formula>"Alta"</formula>
    </cfRule>
    <cfRule type="cellIs" dxfId="66" priority="204" operator="equal">
      <formula>"Muy Baja"</formula>
    </cfRule>
    <cfRule type="cellIs" dxfId="65" priority="203" operator="equal">
      <formula>"Baja"</formula>
    </cfRule>
    <cfRule type="cellIs" dxfId="64" priority="200" operator="equal">
      <formula>"Muy Alta"</formula>
    </cfRule>
    <cfRule type="cellIs" dxfId="63" priority="202" operator="equal">
      <formula>"Media"</formula>
    </cfRule>
  </conditionalFormatting>
  <conditionalFormatting sqref="H31:H33">
    <cfRule type="cellIs" dxfId="62" priority="120" operator="equal">
      <formula>"Muy Baja"</formula>
    </cfRule>
    <cfRule type="cellIs" dxfId="61" priority="119" operator="equal">
      <formula>"Baja"</formula>
    </cfRule>
    <cfRule type="cellIs" dxfId="60" priority="118" operator="equal">
      <formula>"Media"</formula>
    </cfRule>
    <cfRule type="cellIs" dxfId="59" priority="117" operator="equal">
      <formula>"Alta"</formula>
    </cfRule>
    <cfRule type="cellIs" dxfId="58" priority="116" operator="equal">
      <formula>"Muy Alta"</formula>
    </cfRule>
  </conditionalFormatting>
  <conditionalFormatting sqref="K10:K38">
    <cfRule type="containsText" dxfId="57" priority="92" operator="containsText" text="❌">
      <formula>NOT(ISERROR(SEARCH("❌",K10)))</formula>
    </cfRule>
  </conditionalFormatting>
  <conditionalFormatting sqref="L10 L19:L20 L26 L29 L31:L33">
    <cfRule type="cellIs" dxfId="56" priority="408" operator="equal">
      <formula>"Menor"</formula>
    </cfRule>
    <cfRule type="cellIs" dxfId="55" priority="409" operator="equal">
      <formula>"Leve"</formula>
    </cfRule>
    <cfRule type="cellIs" dxfId="54" priority="407" operator="equal">
      <formula>"Moderado"</formula>
    </cfRule>
    <cfRule type="cellIs" dxfId="53" priority="405" operator="equal">
      <formula>"Catastrófico"</formula>
    </cfRule>
    <cfRule type="cellIs" dxfId="52" priority="406" operator="equal">
      <formula>"Mayor"</formula>
    </cfRule>
  </conditionalFormatting>
  <conditionalFormatting sqref="L16">
    <cfRule type="cellIs" dxfId="51" priority="89" operator="equal">
      <formula>"Moderado"</formula>
    </cfRule>
    <cfRule type="cellIs" dxfId="50" priority="90" operator="equal">
      <formula>"Menor"</formula>
    </cfRule>
    <cfRule type="cellIs" dxfId="49" priority="91" operator="equal">
      <formula>"Leve"</formula>
    </cfRule>
    <cfRule type="cellIs" dxfId="48" priority="87" operator="equal">
      <formula>"Catastrófico"</formula>
    </cfRule>
    <cfRule type="cellIs" dxfId="47" priority="88" operator="equal">
      <formula>"Mayor"</formula>
    </cfRule>
  </conditionalFormatting>
  <conditionalFormatting sqref="N10">
    <cfRule type="cellIs" dxfId="46" priority="401" operator="equal">
      <formula>"Extremo"</formula>
    </cfRule>
    <cfRule type="cellIs" dxfId="45" priority="402" operator="equal">
      <formula>"Alto"</formula>
    </cfRule>
    <cfRule type="cellIs" dxfId="44" priority="404" operator="equal">
      <formula>"Bajo"</formula>
    </cfRule>
    <cfRule type="cellIs" dxfId="43" priority="403" operator="equal">
      <formula>"Moderado"</formula>
    </cfRule>
  </conditionalFormatting>
  <conditionalFormatting sqref="N16">
    <cfRule type="cellIs" dxfId="42" priority="84" operator="equal">
      <formula>"Alto"</formula>
    </cfRule>
    <cfRule type="cellIs" dxfId="41" priority="83" operator="equal">
      <formula>"Extremo"</formula>
    </cfRule>
    <cfRule type="cellIs" dxfId="40" priority="86" operator="equal">
      <formula>"Bajo"</formula>
    </cfRule>
    <cfRule type="cellIs" dxfId="39" priority="85" operator="equal">
      <formula>"Moderado"</formula>
    </cfRule>
  </conditionalFormatting>
  <conditionalFormatting sqref="N19:N20">
    <cfRule type="cellIs" dxfId="38" priority="248" operator="equal">
      <formula>"Alto"</formula>
    </cfRule>
    <cfRule type="cellIs" dxfId="37" priority="249" operator="equal">
      <formula>"Moderado"</formula>
    </cfRule>
    <cfRule type="cellIs" dxfId="36" priority="247" operator="equal">
      <formula>"Extremo"</formula>
    </cfRule>
    <cfRule type="cellIs" dxfId="35" priority="250" operator="equal">
      <formula>"Bajo"</formula>
    </cfRule>
  </conditionalFormatting>
  <conditionalFormatting sqref="N26">
    <cfRule type="cellIs" dxfId="34" priority="219" operator="equal">
      <formula>"Extremo"</formula>
    </cfRule>
    <cfRule type="cellIs" dxfId="33" priority="220" operator="equal">
      <formula>"Alto"</formula>
    </cfRule>
    <cfRule type="cellIs" dxfId="32" priority="221" operator="equal">
      <formula>"Moderado"</formula>
    </cfRule>
    <cfRule type="cellIs" dxfId="31" priority="222" operator="equal">
      <formula>"Bajo"</formula>
    </cfRule>
  </conditionalFormatting>
  <conditionalFormatting sqref="N29">
    <cfRule type="cellIs" dxfId="30" priority="194" operator="equal">
      <formula>"Bajo"</formula>
    </cfRule>
    <cfRule type="cellIs" dxfId="29" priority="191" operator="equal">
      <formula>"Extremo"</formula>
    </cfRule>
    <cfRule type="cellIs" dxfId="28" priority="192" operator="equal">
      <formula>"Alto"</formula>
    </cfRule>
    <cfRule type="cellIs" dxfId="27" priority="193" operator="equal">
      <formula>"Moderado"</formula>
    </cfRule>
  </conditionalFormatting>
  <conditionalFormatting sqref="N31:N33">
    <cfRule type="cellIs" dxfId="26" priority="110" operator="equal">
      <formula>"Bajo"</formula>
    </cfRule>
    <cfRule type="cellIs" dxfId="25" priority="109" operator="equal">
      <formula>"Moderado"</formula>
    </cfRule>
    <cfRule type="cellIs" dxfId="24" priority="108" operator="equal">
      <formula>"Alto"</formula>
    </cfRule>
    <cfRule type="cellIs" dxfId="23" priority="107" operator="equal">
      <formula>"Extremo"</formula>
    </cfRule>
  </conditionalFormatting>
  <conditionalFormatting sqref="Y10:Y38">
    <cfRule type="cellIs" dxfId="22" priority="12" operator="equal">
      <formula>"Media"</formula>
    </cfRule>
    <cfRule type="cellIs" dxfId="21" priority="14" operator="equal">
      <formula>"Muy Baja"</formula>
    </cfRule>
    <cfRule type="cellIs" dxfId="20" priority="13" operator="equal">
      <formula>"Baja"</formula>
    </cfRule>
    <cfRule type="cellIs" dxfId="19" priority="11" operator="equal">
      <formula>"Alta"</formula>
    </cfRule>
    <cfRule type="cellIs" dxfId="18" priority="10" operator="equal">
      <formula>"Muy Alta"</formula>
    </cfRule>
  </conditionalFormatting>
  <conditionalFormatting sqref="AA10:AA16">
    <cfRule type="cellIs" dxfId="17" priority="321" operator="equal">
      <formula>"Catastrófico"</formula>
    </cfRule>
    <cfRule type="cellIs" dxfId="16" priority="322" operator="equal">
      <formula>"Mayor"</formula>
    </cfRule>
    <cfRule type="cellIs" dxfId="15" priority="323" operator="equal">
      <formula>"Moderado"</formula>
    </cfRule>
    <cfRule type="cellIs" dxfId="14" priority="324" operator="equal">
      <formula>"Menor"</formula>
    </cfRule>
    <cfRule type="cellIs" dxfId="13" priority="325" operator="equal">
      <formula>"Leve"</formula>
    </cfRule>
  </conditionalFormatting>
  <conditionalFormatting sqref="AA17:AA18">
    <cfRule type="cellIs" dxfId="12" priority="69" operator="equal">
      <formula>"Bajo"</formula>
    </cfRule>
    <cfRule type="cellIs" dxfId="11" priority="68" operator="equal">
      <formula>"Moderado"</formula>
    </cfRule>
    <cfRule type="cellIs" dxfId="10" priority="67" operator="equal">
      <formula>"Alto"</formula>
    </cfRule>
    <cfRule type="cellIs" dxfId="9" priority="66" operator="equal">
      <formula>"Extremo"</formula>
    </cfRule>
  </conditionalFormatting>
  <conditionalFormatting sqref="AA19:AA38">
    <cfRule type="cellIs" dxfId="8" priority="7" operator="equal">
      <formula>"Moderado"</formula>
    </cfRule>
    <cfRule type="cellIs" dxfId="7" priority="6" operator="equal">
      <formula>"Mayor"</formula>
    </cfRule>
    <cfRule type="cellIs" dxfId="6" priority="5" operator="equal">
      <formula>"Catastrófico"</formula>
    </cfRule>
    <cfRule type="cellIs" dxfId="5" priority="9" operator="equal">
      <formula>"Leve"</formula>
    </cfRule>
    <cfRule type="cellIs" dxfId="4" priority="8" operator="equal">
      <formula>"Menor"</formula>
    </cfRule>
  </conditionalFormatting>
  <conditionalFormatting sqref="AC10:AC38">
    <cfRule type="cellIs" dxfId="3" priority="4" operator="equal">
      <formula>"Bajo"</formula>
    </cfRule>
    <cfRule type="cellIs" dxfId="2" priority="3" operator="equal">
      <formula>"Moderado"</formula>
    </cfRule>
    <cfRule type="cellIs" dxfId="1" priority="2" operator="equal">
      <formula>"Alto"</formula>
    </cfRule>
    <cfRule type="cellIs" dxfId="0" priority="1" operator="equal">
      <formula>"Extremo"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AJ13:AJ14 AJ10:AJ11 AJ36:AJ37 AJ31:AJ34 AJ16:AJ29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AG19:AI19 AH16:AI18 AH21:AH28 AI20:AI28 AH29:AI29 AH31:AI32 AG10:AG18 AG20:AG38</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AH10:AH15 AH30 AH20 AH33:AH38</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AI10:AI15 AI30 AI33:AI38</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AF26 AF10:AF16 AF19:AF20 AF30:AF38</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AE10:AE38</xm:sqref>
        </x14:dataValidation>
        <x14:dataValidation type="list" allowBlank="1" showInputMessage="1" showErrorMessage="1" xr:uid="{00000000-0002-0000-0100-000000000000}">
          <x14:formula1>
            <xm:f>'Tabla Valoración controles'!$D$4:$D$6</xm:f>
          </x14:formula1>
          <xm:sqref>R10:R38</xm:sqref>
        </x14:dataValidation>
        <x14:dataValidation type="list" allowBlank="1" showInputMessage="1" showErrorMessage="1" xr:uid="{00000000-0002-0000-0100-000001000000}">
          <x14:formula1>
            <xm:f>'Tabla Valoración controles'!$D$7:$D$8</xm:f>
          </x14:formula1>
          <xm:sqref>S10:S38</xm:sqref>
        </x14:dataValidation>
        <x14:dataValidation type="list" allowBlank="1" showInputMessage="1" showErrorMessage="1" xr:uid="{00000000-0002-0000-0100-000002000000}">
          <x14:formula1>
            <xm:f>'Tabla Valoración controles'!$D$9:$D$10</xm:f>
          </x14:formula1>
          <xm:sqref>U10:U38</xm:sqref>
        </x14:dataValidation>
        <x14:dataValidation type="list" allowBlank="1" showInputMessage="1" showErrorMessage="1" xr:uid="{00000000-0002-0000-0100-000003000000}">
          <x14:formula1>
            <xm:f>'Tabla Valoración controles'!$D$11:$D$12</xm:f>
          </x14:formula1>
          <xm:sqref>V10:V38</xm:sqref>
        </x14:dataValidation>
        <x14:dataValidation type="list" allowBlank="1" showInputMessage="1" showErrorMessage="1" xr:uid="{00000000-0002-0000-0100-000005000000}">
          <x14:formula1>
            <xm:f>'Tabla Valoración controles'!$D$13:$D$14</xm:f>
          </x14:formula1>
          <xm:sqref>W10:W38</xm:sqref>
        </x14:dataValidation>
        <x14:dataValidation type="list" allowBlank="1" showInputMessage="1" showErrorMessage="1" xr:uid="{00000000-0002-0000-0100-000006000000}">
          <x14:formula1>
            <xm:f>'Opciones Tratamiento'!$B$13:$B$19</xm:f>
          </x14:formula1>
          <xm:sqref>F10:F38</xm:sqref>
        </x14:dataValidation>
        <x14:dataValidation type="list" allowBlank="1" showInputMessage="1" showErrorMessage="1" xr:uid="{00000000-0002-0000-0100-000007000000}">
          <x14:formula1>
            <xm:f>'Opciones Tratamiento'!$E$2:$E$4</xm:f>
          </x14:formula1>
          <xm:sqref>B10:B38</xm:sqref>
        </x14:dataValidation>
        <x14:dataValidation type="list" allowBlank="1" showInputMessage="1" showErrorMessage="1" xr:uid="{00000000-0002-0000-0100-000008000000}">
          <x14:formula1>
            <xm:f>'Opciones Tratamiento'!$B$2:$B$5</xm:f>
          </x14:formula1>
          <xm:sqref>AD10:AD38</xm:sqref>
        </x14:dataValidation>
        <x14:dataValidation type="list" allowBlank="1" showInputMessage="1" showErrorMessage="1" xr:uid="{00000000-0002-0000-0100-000009000000}">
          <x14:formula1>
            <xm:f>'Tabla Impacto'!$F$210:$F$221</xm:f>
          </x14:formula1>
          <xm:sqref>J10:J38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M248"/>
  <sheetViews>
    <sheetView zoomScale="50" zoomScaleNormal="50" workbookViewId="0">
      <selection activeCell="AD39" sqref="AD3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304" t="s">
        <v>160</v>
      </c>
      <c r="C2" s="305"/>
      <c r="D2" s="305"/>
      <c r="E2" s="305"/>
      <c r="F2" s="305"/>
      <c r="G2" s="305"/>
      <c r="H2" s="305"/>
      <c r="I2" s="305"/>
      <c r="J2" s="306" t="s">
        <v>2</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305"/>
      <c r="C3" s="305"/>
      <c r="D3" s="305"/>
      <c r="E3" s="305"/>
      <c r="F3" s="305"/>
      <c r="G3" s="305"/>
      <c r="H3" s="305"/>
      <c r="I3" s="305"/>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305"/>
      <c r="C4" s="305"/>
      <c r="D4" s="305"/>
      <c r="E4" s="305"/>
      <c r="F4" s="305"/>
      <c r="G4" s="305"/>
      <c r="H4" s="305"/>
      <c r="I4" s="305"/>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307" t="s">
        <v>4</v>
      </c>
      <c r="C6" s="307"/>
      <c r="D6" s="308"/>
      <c r="E6" s="275" t="s">
        <v>116</v>
      </c>
      <c r="F6" s="276"/>
      <c r="G6" s="276"/>
      <c r="H6" s="276"/>
      <c r="I6" s="277"/>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95" t="s">
        <v>79</v>
      </c>
      <c r="AP6" s="296"/>
      <c r="AQ6" s="296"/>
      <c r="AR6" s="296"/>
      <c r="AS6" s="296"/>
      <c r="AT6" s="297"/>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307"/>
      <c r="C7" s="307"/>
      <c r="D7" s="308"/>
      <c r="E7" s="278"/>
      <c r="F7" s="279"/>
      <c r="G7" s="279"/>
      <c r="H7" s="279"/>
      <c r="I7" s="280"/>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e">
        <f>IF(AND('Mapa final'!#REF!="Muy Alta",'Mapa final'!#REF!="Leve"),CONCATENATE("R2C",'Mapa final'!#REF!),"")</f>
        <v>#REF!</v>
      </c>
      <c r="N7" s="50" t="e">
        <f>IF(AND('Mapa final'!#REF!="Muy Alta",'Mapa final'!#REF!="Leve"),CONCATENATE("R2C",'Mapa final'!#REF!),"")</f>
        <v>#REF!</v>
      </c>
      <c r="O7" s="51" t="e">
        <f>IF(AND('Mapa final'!#REF!="Muy Alta",'Mapa final'!#REF!="Leve"),CONCATENATE("R2C",'Mapa final'!#REF!),"")</f>
        <v>#REF!</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e">
        <f>IF(AND('Mapa final'!#REF!="Muy Alta",'Mapa final'!#REF!="Menor"),CONCATENATE("R2C",'Mapa final'!#REF!),"")</f>
        <v>#REF!</v>
      </c>
      <c r="T7" s="50" t="e">
        <f>IF(AND('Mapa final'!#REF!="Muy Alta",'Mapa final'!#REF!="Menor"),CONCATENATE("R2C",'Mapa final'!#REF!),"")</f>
        <v>#REF!</v>
      </c>
      <c r="U7" s="51" t="e">
        <f>IF(AND('Mapa final'!#REF!="Muy Alta",'Mapa final'!#REF!="Menor"),CONCATENATE("R2C",'Mapa final'!#REF!),"")</f>
        <v>#REF!</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e">
        <f>IF(AND('Mapa final'!#REF!="Muy Alta",'Mapa final'!#REF!="Moderado"),CONCATENATE("R2C",'Mapa final'!#REF!),"")</f>
        <v>#REF!</v>
      </c>
      <c r="Z7" s="50" t="e">
        <f>IF(AND('Mapa final'!#REF!="Muy Alta",'Mapa final'!#REF!="Moderado"),CONCATENATE("R2C",'Mapa final'!#REF!),"")</f>
        <v>#REF!</v>
      </c>
      <c r="AA7" s="51" t="e">
        <f>IF(AND('Mapa final'!#REF!="Muy Alta",'Mapa final'!#REF!="Moderado"),CONCATENATE("R2C",'Mapa final'!#REF!),"")</f>
        <v>#REF!</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e">
        <f>IF(AND('Mapa final'!#REF!="Muy Alta",'Mapa final'!#REF!="Mayor"),CONCATENATE("R2C",'Mapa final'!#REF!),"")</f>
        <v>#REF!</v>
      </c>
      <c r="AF7" s="50" t="e">
        <f>IF(AND('Mapa final'!#REF!="Muy Alta",'Mapa final'!#REF!="Mayor"),CONCATENATE("R2C",'Mapa final'!#REF!),"")</f>
        <v>#REF!</v>
      </c>
      <c r="AG7" s="51" t="e">
        <f>IF(AND('Mapa final'!#REF!="Muy Alta",'Mapa final'!#REF!="Mayor"),CONCATENATE("R2C",'Mapa final'!#REF!),"")</f>
        <v>#REF!</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e">
        <f>IF(AND('Mapa final'!#REF!="Muy Alta",'Mapa final'!#REF!="Catastrófico"),CONCATENATE("R2C",'Mapa final'!#REF!),"")</f>
        <v>#REF!</v>
      </c>
      <c r="AL7" s="53" t="e">
        <f>IF(AND('Mapa final'!#REF!="Muy Alta",'Mapa final'!#REF!="Catastrófico"),CONCATENATE("R2C",'Mapa final'!#REF!),"")</f>
        <v>#REF!</v>
      </c>
      <c r="AM7" s="54" t="e">
        <f>IF(AND('Mapa final'!#REF!="Muy Alta",'Mapa final'!#REF!="Catastrófico"),CONCATENATE("R2C",'Mapa final'!#REF!),"")</f>
        <v>#REF!</v>
      </c>
      <c r="AN7" s="80"/>
      <c r="AO7" s="298"/>
      <c r="AP7" s="299"/>
      <c r="AQ7" s="299"/>
      <c r="AR7" s="299"/>
      <c r="AS7" s="299"/>
      <c r="AT7" s="30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307"/>
      <c r="C8" s="307"/>
      <c r="D8" s="308"/>
      <c r="E8" s="278"/>
      <c r="F8" s="279"/>
      <c r="G8" s="279"/>
      <c r="H8" s="279"/>
      <c r="I8" s="280"/>
      <c r="J8" s="49" t="e">
        <f>IF(AND('Mapa final'!#REF!="Muy Alta",'Mapa final'!#REF!="Leve"),CONCATENATE("R3C",'Mapa final'!#REF!),"")</f>
        <v>#REF!</v>
      </c>
      <c r="K8" s="50" t="e">
        <f>IF(AND('Mapa final'!#REF!="Muy Alta",'Mapa final'!#REF!="Leve"),CONCATENATE("R3C",'Mapa final'!#REF!),"")</f>
        <v>#REF!</v>
      </c>
      <c r="L8" s="50" t="e">
        <f>IF(AND('Mapa final'!#REF!="Muy Alta",'Mapa final'!#REF!="Leve"),CONCATENATE("R3C",'Mapa final'!#REF!),"")</f>
        <v>#REF!</v>
      </c>
      <c r="M8" s="50" t="e">
        <f>IF(AND('Mapa final'!#REF!="Muy Alta",'Mapa final'!#REF!="Leve"),CONCATENATE("R3C",'Mapa final'!#REF!),"")</f>
        <v>#REF!</v>
      </c>
      <c r="N8" s="50" t="e">
        <f>IF(AND('Mapa final'!#REF!="Muy Alta",'Mapa final'!#REF!="Leve"),CONCATENATE("R3C",'Mapa final'!#REF!),"")</f>
        <v>#REF!</v>
      </c>
      <c r="O8" s="51" t="e">
        <f>IF(AND('Mapa final'!#REF!="Muy Alta",'Mapa final'!#REF!="Leve"),CONCATENATE("R3C",'Mapa final'!#REF!),"")</f>
        <v>#REF!</v>
      </c>
      <c r="P8" s="49" t="e">
        <f>IF(AND('Mapa final'!#REF!="Muy Alta",'Mapa final'!#REF!="Menor"),CONCATENATE("R3C",'Mapa final'!#REF!),"")</f>
        <v>#REF!</v>
      </c>
      <c r="Q8" s="50" t="e">
        <f>IF(AND('Mapa final'!#REF!="Muy Alta",'Mapa final'!#REF!="Menor"),CONCATENATE("R3C",'Mapa final'!#REF!),"")</f>
        <v>#REF!</v>
      </c>
      <c r="R8" s="50" t="e">
        <f>IF(AND('Mapa final'!#REF!="Muy Alta",'Mapa final'!#REF!="Menor"),CONCATENATE("R3C",'Mapa final'!#REF!),"")</f>
        <v>#REF!</v>
      </c>
      <c r="S8" s="50" t="e">
        <f>IF(AND('Mapa final'!#REF!="Muy Alta",'Mapa final'!#REF!="Menor"),CONCATENATE("R3C",'Mapa final'!#REF!),"")</f>
        <v>#REF!</v>
      </c>
      <c r="T8" s="50" t="e">
        <f>IF(AND('Mapa final'!#REF!="Muy Alta",'Mapa final'!#REF!="Menor"),CONCATENATE("R3C",'Mapa final'!#REF!),"")</f>
        <v>#REF!</v>
      </c>
      <c r="U8" s="51" t="e">
        <f>IF(AND('Mapa final'!#REF!="Muy Alta",'Mapa final'!#REF!="Menor"),CONCATENATE("R3C",'Mapa final'!#REF!),"")</f>
        <v>#REF!</v>
      </c>
      <c r="V8" s="49" t="e">
        <f>IF(AND('Mapa final'!#REF!="Muy Alta",'Mapa final'!#REF!="Moderado"),CONCATENATE("R3C",'Mapa final'!#REF!),"")</f>
        <v>#REF!</v>
      </c>
      <c r="W8" s="50" t="e">
        <f>IF(AND('Mapa final'!#REF!="Muy Alta",'Mapa final'!#REF!="Moderado"),CONCATENATE("R3C",'Mapa final'!#REF!),"")</f>
        <v>#REF!</v>
      </c>
      <c r="X8" s="50" t="e">
        <f>IF(AND('Mapa final'!#REF!="Muy Alta",'Mapa final'!#REF!="Moderado"),CONCATENATE("R3C",'Mapa final'!#REF!),"")</f>
        <v>#REF!</v>
      </c>
      <c r="Y8" s="50" t="e">
        <f>IF(AND('Mapa final'!#REF!="Muy Alta",'Mapa final'!#REF!="Moderado"),CONCATENATE("R3C",'Mapa final'!#REF!),"")</f>
        <v>#REF!</v>
      </c>
      <c r="Z8" s="50" t="e">
        <f>IF(AND('Mapa final'!#REF!="Muy Alta",'Mapa final'!#REF!="Moderado"),CONCATENATE("R3C",'Mapa final'!#REF!),"")</f>
        <v>#REF!</v>
      </c>
      <c r="AA8" s="51" t="e">
        <f>IF(AND('Mapa final'!#REF!="Muy Alta",'Mapa final'!#REF!="Moderado"),CONCATENATE("R3C",'Mapa final'!#REF!),"")</f>
        <v>#REF!</v>
      </c>
      <c r="AB8" s="49" t="e">
        <f>IF(AND('Mapa final'!#REF!="Muy Alta",'Mapa final'!#REF!="Mayor"),CONCATENATE("R3C",'Mapa final'!#REF!),"")</f>
        <v>#REF!</v>
      </c>
      <c r="AC8" s="50" t="e">
        <f>IF(AND('Mapa final'!#REF!="Muy Alta",'Mapa final'!#REF!="Mayor"),CONCATENATE("R3C",'Mapa final'!#REF!),"")</f>
        <v>#REF!</v>
      </c>
      <c r="AD8" s="50" t="e">
        <f>IF(AND('Mapa final'!#REF!="Muy Alta",'Mapa final'!#REF!="Mayor"),CONCATENATE("R3C",'Mapa final'!#REF!),"")</f>
        <v>#REF!</v>
      </c>
      <c r="AE8" s="50" t="e">
        <f>IF(AND('Mapa final'!#REF!="Muy Alta",'Mapa final'!#REF!="Mayor"),CONCATENATE("R3C",'Mapa final'!#REF!),"")</f>
        <v>#REF!</v>
      </c>
      <c r="AF8" s="50" t="e">
        <f>IF(AND('Mapa final'!#REF!="Muy Alta",'Mapa final'!#REF!="Mayor"),CONCATENATE("R3C",'Mapa final'!#REF!),"")</f>
        <v>#REF!</v>
      </c>
      <c r="AG8" s="51" t="e">
        <f>IF(AND('Mapa final'!#REF!="Muy Alta",'Mapa final'!#REF!="Mayor"),CONCATENATE("R3C",'Mapa final'!#REF!),"")</f>
        <v>#REF!</v>
      </c>
      <c r="AH8" s="52" t="e">
        <f>IF(AND('Mapa final'!#REF!="Muy Alta",'Mapa final'!#REF!="Catastrófico"),CONCATENATE("R3C",'Mapa final'!#REF!),"")</f>
        <v>#REF!</v>
      </c>
      <c r="AI8" s="53" t="e">
        <f>IF(AND('Mapa final'!#REF!="Muy Alta",'Mapa final'!#REF!="Catastrófico"),CONCATENATE("R3C",'Mapa final'!#REF!),"")</f>
        <v>#REF!</v>
      </c>
      <c r="AJ8" s="53" t="e">
        <f>IF(AND('Mapa final'!#REF!="Muy Alta",'Mapa final'!#REF!="Catastrófico"),CONCATENATE("R3C",'Mapa final'!#REF!),"")</f>
        <v>#REF!</v>
      </c>
      <c r="AK8" s="53" t="e">
        <f>IF(AND('Mapa final'!#REF!="Muy Alta",'Mapa final'!#REF!="Catastrófico"),CONCATENATE("R3C",'Mapa final'!#REF!),"")</f>
        <v>#REF!</v>
      </c>
      <c r="AL8" s="53" t="e">
        <f>IF(AND('Mapa final'!#REF!="Muy Alta",'Mapa final'!#REF!="Catastrófico"),CONCATENATE("R3C",'Mapa final'!#REF!),"")</f>
        <v>#REF!</v>
      </c>
      <c r="AM8" s="54" t="e">
        <f>IF(AND('Mapa final'!#REF!="Muy Alta",'Mapa final'!#REF!="Catastrófico"),CONCATENATE("R3C",'Mapa final'!#REF!),"")</f>
        <v>#REF!</v>
      </c>
      <c r="AN8" s="80"/>
      <c r="AO8" s="298"/>
      <c r="AP8" s="299"/>
      <c r="AQ8" s="299"/>
      <c r="AR8" s="299"/>
      <c r="AS8" s="299"/>
      <c r="AT8" s="30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307"/>
      <c r="C9" s="307"/>
      <c r="D9" s="308"/>
      <c r="E9" s="278"/>
      <c r="F9" s="279"/>
      <c r="G9" s="279"/>
      <c r="H9" s="279"/>
      <c r="I9" s="280"/>
      <c r="J9" s="49" t="str">
        <f>IF(AND('Mapa final'!$Y$19="Muy Alta",'Mapa final'!$AA$19="Leve"),CONCATENATE("R4C",'Mapa final'!$O$19),"")</f>
        <v/>
      </c>
      <c r="K9" s="50" t="e">
        <f>IF(AND('Mapa final'!#REF!="Muy Alta",'Mapa final'!#REF!="Leve"),CONCATENATE("R4C",'Mapa final'!#REF!),"")</f>
        <v>#REF!</v>
      </c>
      <c r="L9" s="50" t="e">
        <f>IF(AND('Mapa final'!#REF!="Muy Alta",'Mapa final'!#REF!="Leve"),CONCATENATE("R4C",'Mapa final'!#REF!),"")</f>
        <v>#REF!</v>
      </c>
      <c r="M9" s="50" t="e">
        <f>IF(AND('Mapa final'!#REF!="Muy Alta",'Mapa final'!#REF!="Leve"),CONCATENATE("R4C",'Mapa final'!#REF!),"")</f>
        <v>#REF!</v>
      </c>
      <c r="N9" s="50" t="e">
        <f>IF(AND('Mapa final'!#REF!="Muy Alta",'Mapa final'!#REF!="Leve"),CONCATENATE("R4C",'Mapa final'!#REF!),"")</f>
        <v>#REF!</v>
      </c>
      <c r="O9" s="51" t="e">
        <f>IF(AND('Mapa final'!#REF!="Muy Alta",'Mapa final'!#REF!="Leve"),CONCATENATE("R4C",'Mapa final'!#REF!),"")</f>
        <v>#REF!</v>
      </c>
      <c r="P9" s="49" t="str">
        <f>IF(AND('Mapa final'!$Y$19="Muy Alta",'Mapa final'!$AA$19="Menor"),CONCATENATE("R4C",'Mapa final'!$O$19),"")</f>
        <v/>
      </c>
      <c r="Q9" s="50" t="e">
        <f>IF(AND('Mapa final'!#REF!="Muy Alta",'Mapa final'!#REF!="Menor"),CONCATENATE("R4C",'Mapa final'!#REF!),"")</f>
        <v>#REF!</v>
      </c>
      <c r="R9" s="50" t="e">
        <f>IF(AND('Mapa final'!#REF!="Muy Alta",'Mapa final'!#REF!="Menor"),CONCATENATE("R4C",'Mapa final'!#REF!),"")</f>
        <v>#REF!</v>
      </c>
      <c r="S9" s="50" t="e">
        <f>IF(AND('Mapa final'!#REF!="Muy Alta",'Mapa final'!#REF!="Menor"),CONCATENATE("R4C",'Mapa final'!#REF!),"")</f>
        <v>#REF!</v>
      </c>
      <c r="T9" s="50" t="e">
        <f>IF(AND('Mapa final'!#REF!="Muy Alta",'Mapa final'!#REF!="Menor"),CONCATENATE("R4C",'Mapa final'!#REF!),"")</f>
        <v>#REF!</v>
      </c>
      <c r="U9" s="51" t="e">
        <f>IF(AND('Mapa final'!#REF!="Muy Alta",'Mapa final'!#REF!="Menor"),CONCATENATE("R4C",'Mapa final'!#REF!),"")</f>
        <v>#REF!</v>
      </c>
      <c r="V9" s="49" t="str">
        <f>IF(AND('Mapa final'!$Y$19="Muy Alta",'Mapa final'!$AA$19="Moderado"),CONCATENATE("R4C",'Mapa final'!$O$19),"")</f>
        <v/>
      </c>
      <c r="W9" s="50" t="e">
        <f>IF(AND('Mapa final'!#REF!="Muy Alta",'Mapa final'!#REF!="Moderado"),CONCATENATE("R4C",'Mapa final'!#REF!),"")</f>
        <v>#REF!</v>
      </c>
      <c r="X9" s="50" t="e">
        <f>IF(AND('Mapa final'!#REF!="Muy Alta",'Mapa final'!#REF!="Moderado"),CONCATENATE("R4C",'Mapa final'!#REF!),"")</f>
        <v>#REF!</v>
      </c>
      <c r="Y9" s="50" t="e">
        <f>IF(AND('Mapa final'!#REF!="Muy Alta",'Mapa final'!#REF!="Moderado"),CONCATENATE("R4C",'Mapa final'!#REF!),"")</f>
        <v>#REF!</v>
      </c>
      <c r="Z9" s="50" t="e">
        <f>IF(AND('Mapa final'!#REF!="Muy Alta",'Mapa final'!#REF!="Moderado"),CONCATENATE("R4C",'Mapa final'!#REF!),"")</f>
        <v>#REF!</v>
      </c>
      <c r="AA9" s="51" t="e">
        <f>IF(AND('Mapa final'!#REF!="Muy Alta",'Mapa final'!#REF!="Moderado"),CONCATENATE("R4C",'Mapa final'!#REF!),"")</f>
        <v>#REF!</v>
      </c>
      <c r="AB9" s="49" t="str">
        <f>IF(AND('Mapa final'!$Y$19="Muy Alta",'Mapa final'!$AA$19="Mayor"),CONCATENATE("R4C",'Mapa final'!$O$19),"")</f>
        <v/>
      </c>
      <c r="AC9" s="50" t="e">
        <f>IF(AND('Mapa final'!#REF!="Muy Alta",'Mapa final'!#REF!="Mayor"),CONCATENATE("R4C",'Mapa final'!#REF!),"")</f>
        <v>#REF!</v>
      </c>
      <c r="AD9" s="50" t="e">
        <f>IF(AND('Mapa final'!#REF!="Muy Alta",'Mapa final'!#REF!="Mayor"),CONCATENATE("R4C",'Mapa final'!#REF!),"")</f>
        <v>#REF!</v>
      </c>
      <c r="AE9" s="50" t="e">
        <f>IF(AND('Mapa final'!#REF!="Muy Alta",'Mapa final'!#REF!="Mayor"),CONCATENATE("R4C",'Mapa final'!#REF!),"")</f>
        <v>#REF!</v>
      </c>
      <c r="AF9" s="50" t="e">
        <f>IF(AND('Mapa final'!#REF!="Muy Alta",'Mapa final'!#REF!="Mayor"),CONCATENATE("R4C",'Mapa final'!#REF!),"")</f>
        <v>#REF!</v>
      </c>
      <c r="AG9" s="51" t="e">
        <f>IF(AND('Mapa final'!#REF!="Muy Alta",'Mapa final'!#REF!="Mayor"),CONCATENATE("R4C",'Mapa final'!#REF!),"")</f>
        <v>#REF!</v>
      </c>
      <c r="AH9" s="52" t="str">
        <f>IF(AND('Mapa final'!$Y$19="Muy Alta",'Mapa final'!$AA$19="Catastrófico"),CONCATENATE("R4C",'Mapa final'!$O$19),"")</f>
        <v/>
      </c>
      <c r="AI9" s="53" t="e">
        <f>IF(AND('Mapa final'!#REF!="Muy Alta",'Mapa final'!#REF!="Catastrófico"),CONCATENATE("R4C",'Mapa final'!#REF!),"")</f>
        <v>#REF!</v>
      </c>
      <c r="AJ9" s="53" t="e">
        <f>IF(AND('Mapa final'!#REF!="Muy Alta",'Mapa final'!#REF!="Catastrófico"),CONCATENATE("R4C",'Mapa final'!#REF!),"")</f>
        <v>#REF!</v>
      </c>
      <c r="AK9" s="53" t="e">
        <f>IF(AND('Mapa final'!#REF!="Muy Alta",'Mapa final'!#REF!="Catastrófico"),CONCATENATE("R4C",'Mapa final'!#REF!),"")</f>
        <v>#REF!</v>
      </c>
      <c r="AL9" s="53" t="e">
        <f>IF(AND('Mapa final'!#REF!="Muy Alta",'Mapa final'!#REF!="Catastrófico"),CONCATENATE("R4C",'Mapa final'!#REF!),"")</f>
        <v>#REF!</v>
      </c>
      <c r="AM9" s="54" t="e">
        <f>IF(AND('Mapa final'!#REF!="Muy Alta",'Mapa final'!#REF!="Catastrófico"),CONCATENATE("R4C",'Mapa final'!#REF!),"")</f>
        <v>#REF!</v>
      </c>
      <c r="AN9" s="80"/>
      <c r="AO9" s="298"/>
      <c r="AP9" s="299"/>
      <c r="AQ9" s="299"/>
      <c r="AR9" s="299"/>
      <c r="AS9" s="299"/>
      <c r="AT9" s="30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307"/>
      <c r="C10" s="307"/>
      <c r="D10" s="308"/>
      <c r="E10" s="278"/>
      <c r="F10" s="279"/>
      <c r="G10" s="279"/>
      <c r="H10" s="279"/>
      <c r="I10" s="280"/>
      <c r="J10" s="49" t="str">
        <f>IF(AND('Mapa final'!$Y$20="Muy Alta",'Mapa final'!$AA$20="Leve"),CONCATENATE("R5C",'Mapa final'!$O$20),"")</f>
        <v/>
      </c>
      <c r="K10" s="50" t="str">
        <f>IF(AND('Mapa final'!$Y$21="Muy Alta",'Mapa final'!$AA$21="Leve"),CONCATENATE("R5C",'Mapa final'!$O$21),"")</f>
        <v/>
      </c>
      <c r="L10" s="50" t="str">
        <f>IF(AND('Mapa final'!$Y$22="Muy Alta",'Mapa final'!$AA$22="Leve"),CONCATENATE("R5C",'Mapa final'!$O$22),"")</f>
        <v/>
      </c>
      <c r="M10" s="50" t="str">
        <f>IF(AND('Mapa final'!$Y$23="Muy Alta",'Mapa final'!$AA$23="Leve"),CONCATENATE("R5C",'Mapa final'!$O$23),"")</f>
        <v/>
      </c>
      <c r="N10" s="50" t="str">
        <f>IF(AND('Mapa final'!$Y$24="Muy Alta",'Mapa final'!$AA$24="Leve"),CONCATENATE("R5C",'Mapa final'!$O$24),"")</f>
        <v/>
      </c>
      <c r="O10" s="51" t="str">
        <f>IF(AND('Mapa final'!$Y$25="Muy Alta",'Mapa final'!$AA$25="Leve"),CONCATENATE("R5C",'Mapa final'!$O$25),"")</f>
        <v/>
      </c>
      <c r="P10" s="49" t="str">
        <f>IF(AND('Mapa final'!$Y$20="Muy Alta",'Mapa final'!$AA$20="Menor"),CONCATENATE("R5C",'Mapa final'!$O$20),"")</f>
        <v/>
      </c>
      <c r="Q10" s="50" t="str">
        <f>IF(AND('Mapa final'!$Y$21="Muy Alta",'Mapa final'!$AA$21="Menor"),CONCATENATE("R5C",'Mapa final'!$O$21),"")</f>
        <v/>
      </c>
      <c r="R10" s="50" t="str">
        <f>IF(AND('Mapa final'!$Y$22="Muy Alta",'Mapa final'!$AA$22="Menor"),CONCATENATE("R5C",'Mapa final'!$O$22),"")</f>
        <v/>
      </c>
      <c r="S10" s="50" t="str">
        <f>IF(AND('Mapa final'!$Y$23="Muy Alta",'Mapa final'!$AA$23="Menor"),CONCATENATE("R5C",'Mapa final'!$O$23),"")</f>
        <v/>
      </c>
      <c r="T10" s="50" t="str">
        <f>IF(AND('Mapa final'!$Y$24="Muy Alta",'Mapa final'!$AA$24="Menor"),CONCATENATE("R5C",'Mapa final'!$O$24),"")</f>
        <v/>
      </c>
      <c r="U10" s="51" t="str">
        <f>IF(AND('Mapa final'!$Y$25="Muy Alta",'Mapa final'!$AA$25="Menor"),CONCATENATE("R5C",'Mapa final'!$O$25),"")</f>
        <v/>
      </c>
      <c r="V10" s="49" t="str">
        <f>IF(AND('Mapa final'!$Y$20="Muy Alta",'Mapa final'!$AA$20="Moderado"),CONCATENATE("R5C",'Mapa final'!$O$20),"")</f>
        <v/>
      </c>
      <c r="W10" s="50" t="str">
        <f>IF(AND('Mapa final'!$Y$21="Muy Alta",'Mapa final'!$AA$21="Moderado"),CONCATENATE("R5C",'Mapa final'!$O$21),"")</f>
        <v/>
      </c>
      <c r="X10" s="50" t="str">
        <f>IF(AND('Mapa final'!$Y$22="Muy Alta",'Mapa final'!$AA$22="Moderado"),CONCATENATE("R5C",'Mapa final'!$O$22),"")</f>
        <v/>
      </c>
      <c r="Y10" s="50" t="str">
        <f>IF(AND('Mapa final'!$Y$23="Muy Alta",'Mapa final'!$AA$23="Moderado"),CONCATENATE("R5C",'Mapa final'!$O$23),"")</f>
        <v/>
      </c>
      <c r="Z10" s="50" t="str">
        <f>IF(AND('Mapa final'!$Y$24="Muy Alta",'Mapa final'!$AA$24="Moderado"),CONCATENATE("R5C",'Mapa final'!$O$24),"")</f>
        <v/>
      </c>
      <c r="AA10" s="51" t="str">
        <f>IF(AND('Mapa final'!$Y$25="Muy Alta",'Mapa final'!$AA$25="Moderado"),CONCATENATE("R5C",'Mapa final'!$O$25),"")</f>
        <v/>
      </c>
      <c r="AB10" s="49" t="str">
        <f>IF(AND('Mapa final'!$Y$20="Muy Alta",'Mapa final'!$AA$20="Mayor"),CONCATENATE("R5C",'Mapa final'!$O$20),"")</f>
        <v/>
      </c>
      <c r="AC10" s="50" t="str">
        <f>IF(AND('Mapa final'!$Y$21="Muy Alta",'Mapa final'!$AA$21="Mayor"),CONCATENATE("R5C",'Mapa final'!$O$21),"")</f>
        <v/>
      </c>
      <c r="AD10" s="50" t="str">
        <f>IF(AND('Mapa final'!$Y$22="Muy Alta",'Mapa final'!$AA$22="Mayor"),CONCATENATE("R5C",'Mapa final'!$O$22),"")</f>
        <v/>
      </c>
      <c r="AE10" s="50" t="str">
        <f>IF(AND('Mapa final'!$Y$23="Muy Alta",'Mapa final'!$AA$23="Mayor"),CONCATENATE("R5C",'Mapa final'!$O$23),"")</f>
        <v/>
      </c>
      <c r="AF10" s="50" t="str">
        <f>IF(AND('Mapa final'!$Y$24="Muy Alta",'Mapa final'!$AA$24="Mayor"),CONCATENATE("R5C",'Mapa final'!$O$24),"")</f>
        <v/>
      </c>
      <c r="AG10" s="51" t="str">
        <f>IF(AND('Mapa final'!$Y$25="Muy Alta",'Mapa final'!$AA$25="Mayor"),CONCATENATE("R5C",'Mapa final'!$O$25),"")</f>
        <v/>
      </c>
      <c r="AH10" s="52" t="str">
        <f>IF(AND('Mapa final'!$Y$20="Muy Alta",'Mapa final'!$AA$20="Catastrófico"),CONCATENATE("R5C",'Mapa final'!$O$20),"")</f>
        <v/>
      </c>
      <c r="AI10" s="53" t="str">
        <f>IF(AND('Mapa final'!$Y$21="Muy Alta",'Mapa final'!$AA$21="Catastrófico"),CONCATENATE("R5C",'Mapa final'!$O$21),"")</f>
        <v/>
      </c>
      <c r="AJ10" s="53" t="str">
        <f>IF(AND('Mapa final'!$Y$22="Muy Alta",'Mapa final'!$AA$22="Catastrófico"),CONCATENATE("R5C",'Mapa final'!$O$22),"")</f>
        <v/>
      </c>
      <c r="AK10" s="53" t="str">
        <f>IF(AND('Mapa final'!$Y$23="Muy Alta",'Mapa final'!$AA$23="Catastrófico"),CONCATENATE("R5C",'Mapa final'!$O$23),"")</f>
        <v/>
      </c>
      <c r="AL10" s="53" t="str">
        <f>IF(AND('Mapa final'!$Y$24="Muy Alta",'Mapa final'!$AA$24="Catastrófico"),CONCATENATE("R5C",'Mapa final'!$O$24),"")</f>
        <v/>
      </c>
      <c r="AM10" s="54" t="str">
        <f>IF(AND('Mapa final'!$Y$25="Muy Alta",'Mapa final'!$AA$25="Catastrófico"),CONCATENATE("R5C",'Mapa final'!$O$25),"")</f>
        <v/>
      </c>
      <c r="AN10" s="80"/>
      <c r="AO10" s="298"/>
      <c r="AP10" s="299"/>
      <c r="AQ10" s="299"/>
      <c r="AR10" s="299"/>
      <c r="AS10" s="299"/>
      <c r="AT10" s="30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307"/>
      <c r="C11" s="307"/>
      <c r="D11" s="308"/>
      <c r="E11" s="278"/>
      <c r="F11" s="279"/>
      <c r="G11" s="279"/>
      <c r="H11" s="279"/>
      <c r="I11" s="280"/>
      <c r="J11" s="49" t="str">
        <f>IF(AND('Mapa final'!$Y$26="Muy Alta",'Mapa final'!$AA$26="Leve"),CONCATENATE("R6C",'Mapa final'!$O$26),"")</f>
        <v/>
      </c>
      <c r="K11" s="50" t="e">
        <f>IF(AND('Mapa final'!#REF!="Muy Alta",'Mapa final'!#REF!="Leve"),CONCATENATE("R6C",'Mapa final'!#REF!),"")</f>
        <v>#REF!</v>
      </c>
      <c r="L11" s="50" t="e">
        <f>IF(AND('Mapa final'!#REF!="Muy Alta",'Mapa final'!#REF!="Leve"),CONCATENATE("R6C",'Mapa final'!#REF!),"")</f>
        <v>#REF!</v>
      </c>
      <c r="M11" s="50" t="str">
        <f>IF(AND('Mapa final'!$Y$27="Muy Alta",'Mapa final'!$AA$27="Leve"),CONCATENATE("R6C",'Mapa final'!$O$27),"")</f>
        <v/>
      </c>
      <c r="N11" s="50" t="str">
        <f>IF(AND('Mapa final'!$Y$28="Muy Alta",'Mapa final'!$AA$28="Leve"),CONCATENATE("R6C",'Mapa final'!$O$28),"")</f>
        <v/>
      </c>
      <c r="O11" s="51" t="e">
        <f>IF(AND('Mapa final'!#REF!="Muy Alta",'Mapa final'!#REF!="Leve"),CONCATENATE("R6C",'Mapa final'!#REF!),"")</f>
        <v>#REF!</v>
      </c>
      <c r="P11" s="49" t="str">
        <f>IF(AND('Mapa final'!$Y$26="Muy Alta",'Mapa final'!$AA$26="Menor"),CONCATENATE("R6C",'Mapa final'!$O$26),"")</f>
        <v/>
      </c>
      <c r="Q11" s="50" t="e">
        <f>IF(AND('Mapa final'!#REF!="Muy Alta",'Mapa final'!#REF!="Menor"),CONCATENATE("R6C",'Mapa final'!#REF!),"")</f>
        <v>#REF!</v>
      </c>
      <c r="R11" s="50" t="e">
        <f>IF(AND('Mapa final'!#REF!="Muy Alta",'Mapa final'!#REF!="Menor"),CONCATENATE("R6C",'Mapa final'!#REF!),"")</f>
        <v>#REF!</v>
      </c>
      <c r="S11" s="50" t="str">
        <f>IF(AND('Mapa final'!$Y$27="Muy Alta",'Mapa final'!$AA$27="Menor"),CONCATENATE("R6C",'Mapa final'!$O$27),"")</f>
        <v/>
      </c>
      <c r="T11" s="50" t="str">
        <f>IF(AND('Mapa final'!$Y$28="Muy Alta",'Mapa final'!$AA$28="Menor"),CONCATENATE("R6C",'Mapa final'!$O$28),"")</f>
        <v/>
      </c>
      <c r="U11" s="51" t="e">
        <f>IF(AND('Mapa final'!#REF!="Muy Alta",'Mapa final'!#REF!="Menor"),CONCATENATE("R6C",'Mapa final'!#REF!),"")</f>
        <v>#REF!</v>
      </c>
      <c r="V11" s="49" t="str">
        <f>IF(AND('Mapa final'!$Y$26="Muy Alta",'Mapa final'!$AA$26="Moderado"),CONCATENATE("R6C",'Mapa final'!$O$26),"")</f>
        <v/>
      </c>
      <c r="W11" s="50" t="e">
        <f>IF(AND('Mapa final'!#REF!="Muy Alta",'Mapa final'!#REF!="Moderado"),CONCATENATE("R6C",'Mapa final'!#REF!),"")</f>
        <v>#REF!</v>
      </c>
      <c r="X11" s="50" t="e">
        <f>IF(AND('Mapa final'!#REF!="Muy Alta",'Mapa final'!#REF!="Moderado"),CONCATENATE("R6C",'Mapa final'!#REF!),"")</f>
        <v>#REF!</v>
      </c>
      <c r="Y11" s="50" t="str">
        <f>IF(AND('Mapa final'!$Y$27="Muy Alta",'Mapa final'!$AA$27="Moderado"),CONCATENATE("R6C",'Mapa final'!$O$27),"")</f>
        <v/>
      </c>
      <c r="Z11" s="50" t="str">
        <f>IF(AND('Mapa final'!$Y$28="Muy Alta",'Mapa final'!$AA$28="Moderado"),CONCATENATE("R6C",'Mapa final'!$O$28),"")</f>
        <v/>
      </c>
      <c r="AA11" s="51" t="e">
        <f>IF(AND('Mapa final'!#REF!="Muy Alta",'Mapa final'!#REF!="Moderado"),CONCATENATE("R6C",'Mapa final'!#REF!),"")</f>
        <v>#REF!</v>
      </c>
      <c r="AB11" s="49" t="str">
        <f>IF(AND('Mapa final'!$Y$26="Muy Alta",'Mapa final'!$AA$26="Mayor"),CONCATENATE("R6C",'Mapa final'!$O$26),"")</f>
        <v/>
      </c>
      <c r="AC11" s="50" t="e">
        <f>IF(AND('Mapa final'!#REF!="Muy Alta",'Mapa final'!#REF!="Mayor"),CONCATENATE("R6C",'Mapa final'!#REF!),"")</f>
        <v>#REF!</v>
      </c>
      <c r="AD11" s="50" t="e">
        <f>IF(AND('Mapa final'!#REF!="Muy Alta",'Mapa final'!#REF!="Mayor"),CONCATENATE("R6C",'Mapa final'!#REF!),"")</f>
        <v>#REF!</v>
      </c>
      <c r="AE11" s="50" t="str">
        <f>IF(AND('Mapa final'!$Y$27="Muy Alta",'Mapa final'!$AA$27="Mayor"),CONCATENATE("R6C",'Mapa final'!$O$27),"")</f>
        <v/>
      </c>
      <c r="AF11" s="50" t="str">
        <f>IF(AND('Mapa final'!$Y$28="Muy Alta",'Mapa final'!$AA$28="Mayor"),CONCATENATE("R6C",'Mapa final'!$O$28),"")</f>
        <v/>
      </c>
      <c r="AG11" s="51" t="e">
        <f>IF(AND('Mapa final'!#REF!="Muy Alta",'Mapa final'!#REF!="Mayor"),CONCATENATE("R6C",'Mapa final'!#REF!),"")</f>
        <v>#REF!</v>
      </c>
      <c r="AH11" s="52" t="str">
        <f>IF(AND('Mapa final'!$Y$26="Muy Alta",'Mapa final'!$AA$26="Catastrófico"),CONCATENATE("R6C",'Mapa final'!$O$26),"")</f>
        <v/>
      </c>
      <c r="AI11" s="53" t="e">
        <f>IF(AND('Mapa final'!#REF!="Muy Alta",'Mapa final'!#REF!="Catastrófico"),CONCATENATE("R6C",'Mapa final'!#REF!),"")</f>
        <v>#REF!</v>
      </c>
      <c r="AJ11" s="53" t="e">
        <f>IF(AND('Mapa final'!#REF!="Muy Alta",'Mapa final'!#REF!="Catastrófico"),CONCATENATE("R6C",'Mapa final'!#REF!),"")</f>
        <v>#REF!</v>
      </c>
      <c r="AK11" s="53" t="str">
        <f>IF(AND('Mapa final'!$Y$27="Muy Alta",'Mapa final'!$AA$27="Catastrófico"),CONCATENATE("R6C",'Mapa final'!$O$27),"")</f>
        <v/>
      </c>
      <c r="AL11" s="53" t="str">
        <f>IF(AND('Mapa final'!$Y$28="Muy Alta",'Mapa final'!$AA$28="Catastrófico"),CONCATENATE("R6C",'Mapa final'!$O$28),"")</f>
        <v/>
      </c>
      <c r="AM11" s="54" t="e">
        <f>IF(AND('Mapa final'!#REF!="Muy Alta",'Mapa final'!#REF!="Catastrófico"),CONCATENATE("R6C",'Mapa final'!#REF!),"")</f>
        <v>#REF!</v>
      </c>
      <c r="AN11" s="80"/>
      <c r="AO11" s="298"/>
      <c r="AP11" s="299"/>
      <c r="AQ11" s="299"/>
      <c r="AR11" s="299"/>
      <c r="AS11" s="299"/>
      <c r="AT11" s="30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307"/>
      <c r="C12" s="307"/>
      <c r="D12" s="308"/>
      <c r="E12" s="278"/>
      <c r="F12" s="279"/>
      <c r="G12" s="279"/>
      <c r="H12" s="279"/>
      <c r="I12" s="280"/>
      <c r="J12" s="49" t="str">
        <f>IF(AND('Mapa final'!$Y$29="Muy Alta",'Mapa final'!$AA$29="Leve"),CONCATENATE("R7C",'Mapa final'!$O$29),"")</f>
        <v/>
      </c>
      <c r="K12" s="50" t="e">
        <f>IF(AND('Mapa final'!#REF!="Muy Alta",'Mapa final'!#REF!="Leve"),CONCATENATE("R7C",'Mapa final'!#REF!),"")</f>
        <v>#REF!</v>
      </c>
      <c r="L12" s="50" t="e">
        <f>IF(AND('Mapa final'!#REF!="Muy Alta",'Mapa final'!#REF!="Leve"),CONCATENATE("R7C",'Mapa final'!#REF!),"")</f>
        <v>#REF!</v>
      </c>
      <c r="M12" s="50" t="e">
        <f>IF(AND('Mapa final'!#REF!="Muy Alta",'Mapa final'!#REF!="Leve"),CONCATENATE("R7C",'Mapa final'!#REF!),"")</f>
        <v>#REF!</v>
      </c>
      <c r="N12" s="50" t="e">
        <f>IF(AND('Mapa final'!#REF!="Muy Alta",'Mapa final'!#REF!="Leve"),CONCATENATE("R7C",'Mapa final'!#REF!),"")</f>
        <v>#REF!</v>
      </c>
      <c r="O12" s="51" t="str">
        <f>IF(AND('Mapa final'!$Y$30="Muy Alta",'Mapa final'!$AA$30="Leve"),CONCATENATE("R7C",'Mapa final'!$O$30),"")</f>
        <v/>
      </c>
      <c r="P12" s="49" t="str">
        <f>IF(AND('Mapa final'!$Y$29="Muy Alta",'Mapa final'!$AA$29="Menor"),CONCATENATE("R7C",'Mapa final'!$O$29),"")</f>
        <v/>
      </c>
      <c r="Q12" s="50" t="e">
        <f>IF(AND('Mapa final'!#REF!="Muy Alta",'Mapa final'!#REF!="Menor"),CONCATENATE("R7C",'Mapa final'!#REF!),"")</f>
        <v>#REF!</v>
      </c>
      <c r="R12" s="50" t="e">
        <f>IF(AND('Mapa final'!#REF!="Muy Alta",'Mapa final'!#REF!="Menor"),CONCATENATE("R7C",'Mapa final'!#REF!),"")</f>
        <v>#REF!</v>
      </c>
      <c r="S12" s="50" t="e">
        <f>IF(AND('Mapa final'!#REF!="Muy Alta",'Mapa final'!#REF!="Menor"),CONCATENATE("R7C",'Mapa final'!#REF!),"")</f>
        <v>#REF!</v>
      </c>
      <c r="T12" s="50" t="e">
        <f>IF(AND('Mapa final'!#REF!="Muy Alta",'Mapa final'!#REF!="Menor"),CONCATENATE("R7C",'Mapa final'!#REF!),"")</f>
        <v>#REF!</v>
      </c>
      <c r="U12" s="51" t="str">
        <f>IF(AND('Mapa final'!$Y$30="Muy Alta",'Mapa final'!$AA$30="Menor"),CONCATENATE("R7C",'Mapa final'!$O$30),"")</f>
        <v/>
      </c>
      <c r="V12" s="49" t="str">
        <f>IF(AND('Mapa final'!$Y$29="Muy Alta",'Mapa final'!$AA$29="Moderado"),CONCATENATE("R7C",'Mapa final'!$O$29),"")</f>
        <v/>
      </c>
      <c r="W12" s="50" t="e">
        <f>IF(AND('Mapa final'!#REF!="Muy Alta",'Mapa final'!#REF!="Moderado"),CONCATENATE("R7C",'Mapa final'!#REF!),"")</f>
        <v>#REF!</v>
      </c>
      <c r="X12" s="50" t="e">
        <f>IF(AND('Mapa final'!#REF!="Muy Alta",'Mapa final'!#REF!="Moderado"),CONCATENATE("R7C",'Mapa final'!#REF!),"")</f>
        <v>#REF!</v>
      </c>
      <c r="Y12" s="50" t="e">
        <f>IF(AND('Mapa final'!#REF!="Muy Alta",'Mapa final'!#REF!="Moderado"),CONCATENATE("R7C",'Mapa final'!#REF!),"")</f>
        <v>#REF!</v>
      </c>
      <c r="Z12" s="50" t="e">
        <f>IF(AND('Mapa final'!#REF!="Muy Alta",'Mapa final'!#REF!="Moderado"),CONCATENATE("R7C",'Mapa final'!#REF!),"")</f>
        <v>#REF!</v>
      </c>
      <c r="AA12" s="51" t="str">
        <f>IF(AND('Mapa final'!$Y$30="Muy Alta",'Mapa final'!$AA$30="Moderado"),CONCATENATE("R7C",'Mapa final'!$O$30),"")</f>
        <v/>
      </c>
      <c r="AB12" s="49" t="str">
        <f>IF(AND('Mapa final'!$Y$29="Muy Alta",'Mapa final'!$AA$29="Mayor"),CONCATENATE("R7C",'Mapa final'!$O$29),"")</f>
        <v/>
      </c>
      <c r="AC12" s="50" t="e">
        <f>IF(AND('Mapa final'!#REF!="Muy Alta",'Mapa final'!#REF!="Mayor"),CONCATENATE("R7C",'Mapa final'!#REF!),"")</f>
        <v>#REF!</v>
      </c>
      <c r="AD12" s="50" t="e">
        <f>IF(AND('Mapa final'!#REF!="Muy Alta",'Mapa final'!#REF!="Mayor"),CONCATENATE("R7C",'Mapa final'!#REF!),"")</f>
        <v>#REF!</v>
      </c>
      <c r="AE12" s="50" t="e">
        <f>IF(AND('Mapa final'!#REF!="Muy Alta",'Mapa final'!#REF!="Mayor"),CONCATENATE("R7C",'Mapa final'!#REF!),"")</f>
        <v>#REF!</v>
      </c>
      <c r="AF12" s="50" t="e">
        <f>IF(AND('Mapa final'!#REF!="Muy Alta",'Mapa final'!#REF!="Mayor"),CONCATENATE("R7C",'Mapa final'!#REF!),"")</f>
        <v>#REF!</v>
      </c>
      <c r="AG12" s="51" t="str">
        <f>IF(AND('Mapa final'!$Y$30="Muy Alta",'Mapa final'!$AA$30="Mayor"),CONCATENATE("R7C",'Mapa final'!$O$30),"")</f>
        <v/>
      </c>
      <c r="AH12" s="52" t="str">
        <f>IF(AND('Mapa final'!$Y$29="Muy Alta",'Mapa final'!$AA$29="Catastrófico"),CONCATENATE("R7C",'Mapa final'!$O$29),"")</f>
        <v/>
      </c>
      <c r="AI12" s="53" t="e">
        <f>IF(AND('Mapa final'!#REF!="Muy Alta",'Mapa final'!#REF!="Catastrófico"),CONCATENATE("R7C",'Mapa final'!#REF!),"")</f>
        <v>#REF!</v>
      </c>
      <c r="AJ12" s="53" t="e">
        <f>IF(AND('Mapa final'!#REF!="Muy Alta",'Mapa final'!#REF!="Catastrófico"),CONCATENATE("R7C",'Mapa final'!#REF!),"")</f>
        <v>#REF!</v>
      </c>
      <c r="AK12" s="53" t="e">
        <f>IF(AND('Mapa final'!#REF!="Muy Alta",'Mapa final'!#REF!="Catastrófico"),CONCATENATE("R7C",'Mapa final'!#REF!),"")</f>
        <v>#REF!</v>
      </c>
      <c r="AL12" s="53" t="e">
        <f>IF(AND('Mapa final'!#REF!="Muy Alta",'Mapa final'!#REF!="Catastrófico"),CONCATENATE("R7C",'Mapa final'!#REF!),"")</f>
        <v>#REF!</v>
      </c>
      <c r="AM12" s="54" t="str">
        <f>IF(AND('Mapa final'!$Y$30="Muy Alta",'Mapa final'!$AA$30="Catastrófico"),CONCATENATE("R7C",'Mapa final'!$O$30),"")</f>
        <v/>
      </c>
      <c r="AN12" s="80"/>
      <c r="AO12" s="298"/>
      <c r="AP12" s="299"/>
      <c r="AQ12" s="299"/>
      <c r="AR12" s="299"/>
      <c r="AS12" s="299"/>
      <c r="AT12" s="30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307"/>
      <c r="C13" s="307"/>
      <c r="D13" s="308"/>
      <c r="E13" s="278"/>
      <c r="F13" s="279"/>
      <c r="G13" s="279"/>
      <c r="H13" s="279"/>
      <c r="I13" s="280"/>
      <c r="J13" s="49" t="str">
        <f>IF(AND('Mapa final'!$Y$31="Muy Alta",'Mapa final'!$AA$31="Leve"),CONCATENATE("R8C",'Mapa final'!$O$31),"")</f>
        <v/>
      </c>
      <c r="K13" s="50" t="e">
        <f>IF(AND('Mapa final'!#REF!="Muy Alta",'Mapa final'!#REF!="Leve"),CONCATENATE("R8C",'Mapa final'!#REF!),"")</f>
        <v>#REF!</v>
      </c>
      <c r="L13" s="50" t="e">
        <f>IF(AND('Mapa final'!#REF!="Muy Alta",'Mapa final'!#REF!="Leve"),CONCATENATE("R8C",'Mapa final'!#REF!),"")</f>
        <v>#REF!</v>
      </c>
      <c r="M13" s="50" t="e">
        <f>IF(AND('Mapa final'!#REF!="Muy Alta",'Mapa final'!#REF!="Leve"),CONCATENATE("R8C",'Mapa final'!#REF!),"")</f>
        <v>#REF!</v>
      </c>
      <c r="N13" s="50" t="e">
        <f>IF(AND('Mapa final'!#REF!="Muy Alta",'Mapa final'!#REF!="Leve"),CONCATENATE("R8C",'Mapa final'!#REF!),"")</f>
        <v>#REF!</v>
      </c>
      <c r="O13" s="51" t="e">
        <f>IF(AND('Mapa final'!#REF!="Muy Alta",'Mapa final'!#REF!="Leve"),CONCATENATE("R8C",'Mapa final'!#REF!),"")</f>
        <v>#REF!</v>
      </c>
      <c r="P13" s="49" t="str">
        <f>IF(AND('Mapa final'!$Y$31="Muy Alta",'Mapa final'!$AA$31="Menor"),CONCATENATE("R8C",'Mapa final'!$O$31),"")</f>
        <v/>
      </c>
      <c r="Q13" s="50" t="e">
        <f>IF(AND('Mapa final'!#REF!="Muy Alta",'Mapa final'!#REF!="Menor"),CONCATENATE("R8C",'Mapa final'!#REF!),"")</f>
        <v>#REF!</v>
      </c>
      <c r="R13" s="50" t="e">
        <f>IF(AND('Mapa final'!#REF!="Muy Alta",'Mapa final'!#REF!="Menor"),CONCATENATE("R8C",'Mapa final'!#REF!),"")</f>
        <v>#REF!</v>
      </c>
      <c r="S13" s="50" t="e">
        <f>IF(AND('Mapa final'!#REF!="Muy Alta",'Mapa final'!#REF!="Menor"),CONCATENATE("R8C",'Mapa final'!#REF!),"")</f>
        <v>#REF!</v>
      </c>
      <c r="T13" s="50" t="e">
        <f>IF(AND('Mapa final'!#REF!="Muy Alta",'Mapa final'!#REF!="Menor"),CONCATENATE("R8C",'Mapa final'!#REF!),"")</f>
        <v>#REF!</v>
      </c>
      <c r="U13" s="51" t="e">
        <f>IF(AND('Mapa final'!#REF!="Muy Alta",'Mapa final'!#REF!="Menor"),CONCATENATE("R8C",'Mapa final'!#REF!),"")</f>
        <v>#REF!</v>
      </c>
      <c r="V13" s="49" t="str">
        <f>IF(AND('Mapa final'!$Y$31="Muy Alta",'Mapa final'!$AA$31="Moderado"),CONCATENATE("R8C",'Mapa final'!$O$31),"")</f>
        <v/>
      </c>
      <c r="W13" s="50" t="e">
        <f>IF(AND('Mapa final'!#REF!="Muy Alta",'Mapa final'!#REF!="Moderado"),CONCATENATE("R8C",'Mapa final'!#REF!),"")</f>
        <v>#REF!</v>
      </c>
      <c r="X13" s="50" t="e">
        <f>IF(AND('Mapa final'!#REF!="Muy Alta",'Mapa final'!#REF!="Moderado"),CONCATENATE("R8C",'Mapa final'!#REF!),"")</f>
        <v>#REF!</v>
      </c>
      <c r="Y13" s="50" t="e">
        <f>IF(AND('Mapa final'!#REF!="Muy Alta",'Mapa final'!#REF!="Moderado"),CONCATENATE("R8C",'Mapa final'!#REF!),"")</f>
        <v>#REF!</v>
      </c>
      <c r="Z13" s="50" t="e">
        <f>IF(AND('Mapa final'!#REF!="Muy Alta",'Mapa final'!#REF!="Moderado"),CONCATENATE("R8C",'Mapa final'!#REF!),"")</f>
        <v>#REF!</v>
      </c>
      <c r="AA13" s="51" t="e">
        <f>IF(AND('Mapa final'!#REF!="Muy Alta",'Mapa final'!#REF!="Moderado"),CONCATENATE("R8C",'Mapa final'!#REF!),"")</f>
        <v>#REF!</v>
      </c>
      <c r="AB13" s="49" t="str">
        <f>IF(AND('Mapa final'!$Y$31="Muy Alta",'Mapa final'!$AA$31="Mayor"),CONCATENATE("R8C",'Mapa final'!$O$31),"")</f>
        <v/>
      </c>
      <c r="AC13" s="50" t="e">
        <f>IF(AND('Mapa final'!#REF!="Muy Alta",'Mapa final'!#REF!="Mayor"),CONCATENATE("R8C",'Mapa final'!#REF!),"")</f>
        <v>#REF!</v>
      </c>
      <c r="AD13" s="50" t="e">
        <f>IF(AND('Mapa final'!#REF!="Muy Alta",'Mapa final'!#REF!="Mayor"),CONCATENATE("R8C",'Mapa final'!#REF!),"")</f>
        <v>#REF!</v>
      </c>
      <c r="AE13" s="50" t="e">
        <f>IF(AND('Mapa final'!#REF!="Muy Alta",'Mapa final'!#REF!="Mayor"),CONCATENATE("R8C",'Mapa final'!#REF!),"")</f>
        <v>#REF!</v>
      </c>
      <c r="AF13" s="50" t="e">
        <f>IF(AND('Mapa final'!#REF!="Muy Alta",'Mapa final'!#REF!="Mayor"),CONCATENATE("R8C",'Mapa final'!#REF!),"")</f>
        <v>#REF!</v>
      </c>
      <c r="AG13" s="51" t="e">
        <f>IF(AND('Mapa final'!#REF!="Muy Alta",'Mapa final'!#REF!="Mayor"),CONCATENATE("R8C",'Mapa final'!#REF!),"")</f>
        <v>#REF!</v>
      </c>
      <c r="AH13" s="52" t="str">
        <f>IF(AND('Mapa final'!$Y$31="Muy Alta",'Mapa final'!$AA$31="Catastrófico"),CONCATENATE("R8C",'Mapa final'!$O$31),"")</f>
        <v/>
      </c>
      <c r="AI13" s="53" t="e">
        <f>IF(AND('Mapa final'!#REF!="Muy Alta",'Mapa final'!#REF!="Catastrófico"),CONCATENATE("R8C",'Mapa final'!#REF!),"")</f>
        <v>#REF!</v>
      </c>
      <c r="AJ13" s="53" t="e">
        <f>IF(AND('Mapa final'!#REF!="Muy Alta",'Mapa final'!#REF!="Catastrófico"),CONCATENATE("R8C",'Mapa final'!#REF!),"")</f>
        <v>#REF!</v>
      </c>
      <c r="AK13" s="53" t="e">
        <f>IF(AND('Mapa final'!#REF!="Muy Alta",'Mapa final'!#REF!="Catastrófico"),CONCATENATE("R8C",'Mapa final'!#REF!),"")</f>
        <v>#REF!</v>
      </c>
      <c r="AL13" s="53" t="e">
        <f>IF(AND('Mapa final'!#REF!="Muy Alta",'Mapa final'!#REF!="Catastrófico"),CONCATENATE("R8C",'Mapa final'!#REF!),"")</f>
        <v>#REF!</v>
      </c>
      <c r="AM13" s="54" t="e">
        <f>IF(AND('Mapa final'!#REF!="Muy Alta",'Mapa final'!#REF!="Catastrófico"),CONCATENATE("R8C",'Mapa final'!#REF!),"")</f>
        <v>#REF!</v>
      </c>
      <c r="AN13" s="80"/>
      <c r="AO13" s="298"/>
      <c r="AP13" s="299"/>
      <c r="AQ13" s="299"/>
      <c r="AR13" s="299"/>
      <c r="AS13" s="299"/>
      <c r="AT13" s="30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307"/>
      <c r="C14" s="307"/>
      <c r="D14" s="308"/>
      <c r="E14" s="278"/>
      <c r="F14" s="279"/>
      <c r="G14" s="279"/>
      <c r="H14" s="279"/>
      <c r="I14" s="280"/>
      <c r="J14" s="49" t="str">
        <f>IF(AND('Mapa final'!$Y$32="Muy Alta",'Mapa final'!$AA$32="Leve"),CONCATENATE("R9C",'Mapa final'!$O$32),"")</f>
        <v/>
      </c>
      <c r="K14" s="50" t="e">
        <f>IF(AND('Mapa final'!#REF!="Muy Alta",'Mapa final'!#REF!="Leve"),CONCATENATE("R9C",'Mapa final'!#REF!),"")</f>
        <v>#REF!</v>
      </c>
      <c r="L14" s="50" t="e">
        <f>IF(AND('Mapa final'!#REF!="Muy Alta",'Mapa final'!#REF!="Leve"),CONCATENATE("R9C",'Mapa final'!#REF!),"")</f>
        <v>#REF!</v>
      </c>
      <c r="M14" s="50" t="e">
        <f>IF(AND('Mapa final'!#REF!="Muy Alta",'Mapa final'!#REF!="Leve"),CONCATENATE("R9C",'Mapa final'!#REF!),"")</f>
        <v>#REF!</v>
      </c>
      <c r="N14" s="50" t="e">
        <f>IF(AND('Mapa final'!#REF!="Muy Alta",'Mapa final'!#REF!="Leve"),CONCATENATE("R9C",'Mapa final'!#REF!),"")</f>
        <v>#REF!</v>
      </c>
      <c r="O14" s="51" t="e">
        <f>IF(AND('Mapa final'!#REF!="Muy Alta",'Mapa final'!#REF!="Leve"),CONCATENATE("R9C",'Mapa final'!#REF!),"")</f>
        <v>#REF!</v>
      </c>
      <c r="P14" s="49" t="str">
        <f>IF(AND('Mapa final'!$Y$32="Muy Alta",'Mapa final'!$AA$32="Menor"),CONCATENATE("R9C",'Mapa final'!$O$32),"")</f>
        <v/>
      </c>
      <c r="Q14" s="50" t="e">
        <f>IF(AND('Mapa final'!#REF!="Muy Alta",'Mapa final'!#REF!="Menor"),CONCATENATE("R9C",'Mapa final'!#REF!),"")</f>
        <v>#REF!</v>
      </c>
      <c r="R14" s="50" t="e">
        <f>IF(AND('Mapa final'!#REF!="Muy Alta",'Mapa final'!#REF!="Menor"),CONCATENATE("R9C",'Mapa final'!#REF!),"")</f>
        <v>#REF!</v>
      </c>
      <c r="S14" s="50" t="e">
        <f>IF(AND('Mapa final'!#REF!="Muy Alta",'Mapa final'!#REF!="Menor"),CONCATENATE("R9C",'Mapa final'!#REF!),"")</f>
        <v>#REF!</v>
      </c>
      <c r="T14" s="50" t="e">
        <f>IF(AND('Mapa final'!#REF!="Muy Alta",'Mapa final'!#REF!="Menor"),CONCATENATE("R9C",'Mapa final'!#REF!),"")</f>
        <v>#REF!</v>
      </c>
      <c r="U14" s="51" t="e">
        <f>IF(AND('Mapa final'!#REF!="Muy Alta",'Mapa final'!#REF!="Menor"),CONCATENATE("R9C",'Mapa final'!#REF!),"")</f>
        <v>#REF!</v>
      </c>
      <c r="V14" s="49" t="str">
        <f>IF(AND('Mapa final'!$Y$32="Muy Alta",'Mapa final'!$AA$32="Moderado"),CONCATENATE("R9C",'Mapa final'!$O$32),"")</f>
        <v/>
      </c>
      <c r="W14" s="50" t="e">
        <f>IF(AND('Mapa final'!#REF!="Muy Alta",'Mapa final'!#REF!="Moderado"),CONCATENATE("R9C",'Mapa final'!#REF!),"")</f>
        <v>#REF!</v>
      </c>
      <c r="X14" s="50" t="e">
        <f>IF(AND('Mapa final'!#REF!="Muy Alta",'Mapa final'!#REF!="Moderado"),CONCATENATE("R9C",'Mapa final'!#REF!),"")</f>
        <v>#REF!</v>
      </c>
      <c r="Y14" s="50" t="e">
        <f>IF(AND('Mapa final'!#REF!="Muy Alta",'Mapa final'!#REF!="Moderado"),CONCATENATE("R9C",'Mapa final'!#REF!),"")</f>
        <v>#REF!</v>
      </c>
      <c r="Z14" s="50" t="e">
        <f>IF(AND('Mapa final'!#REF!="Muy Alta",'Mapa final'!#REF!="Moderado"),CONCATENATE("R9C",'Mapa final'!#REF!),"")</f>
        <v>#REF!</v>
      </c>
      <c r="AA14" s="51" t="e">
        <f>IF(AND('Mapa final'!#REF!="Muy Alta",'Mapa final'!#REF!="Moderado"),CONCATENATE("R9C",'Mapa final'!#REF!),"")</f>
        <v>#REF!</v>
      </c>
      <c r="AB14" s="49" t="str">
        <f>IF(AND('Mapa final'!$Y$32="Muy Alta",'Mapa final'!$AA$32="Mayor"),CONCATENATE("R9C",'Mapa final'!$O$32),"")</f>
        <v/>
      </c>
      <c r="AC14" s="50" t="e">
        <f>IF(AND('Mapa final'!#REF!="Muy Alta",'Mapa final'!#REF!="Mayor"),CONCATENATE("R9C",'Mapa final'!#REF!),"")</f>
        <v>#REF!</v>
      </c>
      <c r="AD14" s="50" t="e">
        <f>IF(AND('Mapa final'!#REF!="Muy Alta",'Mapa final'!#REF!="Mayor"),CONCATENATE("R9C",'Mapa final'!#REF!),"")</f>
        <v>#REF!</v>
      </c>
      <c r="AE14" s="50" t="e">
        <f>IF(AND('Mapa final'!#REF!="Muy Alta",'Mapa final'!#REF!="Mayor"),CONCATENATE("R9C",'Mapa final'!#REF!),"")</f>
        <v>#REF!</v>
      </c>
      <c r="AF14" s="50" t="e">
        <f>IF(AND('Mapa final'!#REF!="Muy Alta",'Mapa final'!#REF!="Mayor"),CONCATENATE("R9C",'Mapa final'!#REF!),"")</f>
        <v>#REF!</v>
      </c>
      <c r="AG14" s="51" t="e">
        <f>IF(AND('Mapa final'!#REF!="Muy Alta",'Mapa final'!#REF!="Mayor"),CONCATENATE("R9C",'Mapa final'!#REF!),"")</f>
        <v>#REF!</v>
      </c>
      <c r="AH14" s="52" t="str">
        <f>IF(AND('Mapa final'!$Y$32="Muy Alta",'Mapa final'!$AA$32="Catastrófico"),CONCATENATE("R9C",'Mapa final'!$O$32),"")</f>
        <v/>
      </c>
      <c r="AI14" s="53" t="e">
        <f>IF(AND('Mapa final'!#REF!="Muy Alta",'Mapa final'!#REF!="Catastrófico"),CONCATENATE("R9C",'Mapa final'!#REF!),"")</f>
        <v>#REF!</v>
      </c>
      <c r="AJ14" s="53" t="e">
        <f>IF(AND('Mapa final'!#REF!="Muy Alta",'Mapa final'!#REF!="Catastrófico"),CONCATENATE("R9C",'Mapa final'!#REF!),"")</f>
        <v>#REF!</v>
      </c>
      <c r="AK14" s="53" t="e">
        <f>IF(AND('Mapa final'!#REF!="Muy Alta",'Mapa final'!#REF!="Catastrófico"),CONCATENATE("R9C",'Mapa final'!#REF!),"")</f>
        <v>#REF!</v>
      </c>
      <c r="AL14" s="53" t="e">
        <f>IF(AND('Mapa final'!#REF!="Muy Alta",'Mapa final'!#REF!="Catastrófico"),CONCATENATE("R9C",'Mapa final'!#REF!),"")</f>
        <v>#REF!</v>
      </c>
      <c r="AM14" s="54" t="e">
        <f>IF(AND('Mapa final'!#REF!="Muy Alta",'Mapa final'!#REF!="Catastrófico"),CONCATENATE("R9C",'Mapa final'!#REF!),"")</f>
        <v>#REF!</v>
      </c>
      <c r="AN14" s="80"/>
      <c r="AO14" s="298"/>
      <c r="AP14" s="299"/>
      <c r="AQ14" s="299"/>
      <c r="AR14" s="299"/>
      <c r="AS14" s="299"/>
      <c r="AT14" s="30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307"/>
      <c r="C15" s="307"/>
      <c r="D15" s="308"/>
      <c r="E15" s="281"/>
      <c r="F15" s="282"/>
      <c r="G15" s="282"/>
      <c r="H15" s="282"/>
      <c r="I15" s="283"/>
      <c r="J15" s="55" t="str">
        <f>IF(AND('Mapa final'!$Y$33="Muy Alta",'Mapa final'!$AA$33="Leve"),CONCATENATE("R10C",'Mapa final'!$O$33),"")</f>
        <v/>
      </c>
      <c r="K15" s="56" t="str">
        <f>IF(AND('Mapa final'!$Y$34="Muy Alta",'Mapa final'!$AA$34="Leve"),CONCATENATE("R10C",'Mapa final'!$O$34),"")</f>
        <v/>
      </c>
      <c r="L15" s="56" t="str">
        <f>IF(AND('Mapa final'!$Y$35="Muy Alta",'Mapa final'!$AA$35="Leve"),CONCATENATE("R10C",'Mapa final'!$O$35),"")</f>
        <v/>
      </c>
      <c r="M15" s="56" t="str">
        <f>IF(AND('Mapa final'!$Y$36="Muy Alta",'Mapa final'!$AA$36="Leve"),CONCATENATE("R10C",'Mapa final'!$O$36),"")</f>
        <v/>
      </c>
      <c r="N15" s="56" t="str">
        <f>IF(AND('Mapa final'!$Y$37="Muy Alta",'Mapa final'!$AA$37="Leve"),CONCATENATE("R10C",'Mapa final'!$O$37),"")</f>
        <v/>
      </c>
      <c r="O15" s="57" t="str">
        <f>IF(AND('Mapa final'!$Y$38="Muy Alta",'Mapa final'!$AA$38="Leve"),CONCATENATE("R10C",'Mapa final'!$O$38),"")</f>
        <v/>
      </c>
      <c r="P15" s="49" t="str">
        <f>IF(AND('Mapa final'!$Y$33="Muy Alta",'Mapa final'!$AA$33="Menor"),CONCATENATE("R10C",'Mapa final'!$O$33),"")</f>
        <v/>
      </c>
      <c r="Q15" s="50" t="str">
        <f>IF(AND('Mapa final'!$Y$34="Muy Alta",'Mapa final'!$AA$34="Menor"),CONCATENATE("R10C",'Mapa final'!$O$34),"")</f>
        <v/>
      </c>
      <c r="R15" s="50" t="str">
        <f>IF(AND('Mapa final'!$Y$35="Muy Alta",'Mapa final'!$AA$35="Menor"),CONCATENATE("R10C",'Mapa final'!$O$35),"")</f>
        <v/>
      </c>
      <c r="S15" s="50" t="str">
        <f>IF(AND('Mapa final'!$Y$36="Muy Alta",'Mapa final'!$AA$36="Menor"),CONCATENATE("R10C",'Mapa final'!$O$36),"")</f>
        <v/>
      </c>
      <c r="T15" s="50" t="str">
        <f>IF(AND('Mapa final'!$Y$37="Muy Alta",'Mapa final'!$AA$37="Menor"),CONCATENATE("R10C",'Mapa final'!$O$37),"")</f>
        <v/>
      </c>
      <c r="U15" s="51" t="str">
        <f>IF(AND('Mapa final'!$Y$38="Muy Alta",'Mapa final'!$AA$38="Menor"),CONCATENATE("R10C",'Mapa final'!$O$38),"")</f>
        <v/>
      </c>
      <c r="V15" s="55" t="str">
        <f>IF(AND('Mapa final'!$Y$33="Muy Alta",'Mapa final'!$AA$33="Moderado"),CONCATENATE("R10C",'Mapa final'!$O$33),"")</f>
        <v/>
      </c>
      <c r="W15" s="56" t="str">
        <f>IF(AND('Mapa final'!$Y$34="Muy Alta",'Mapa final'!$AA$34="Moderado"),CONCATENATE("R10C",'Mapa final'!$O$34),"")</f>
        <v/>
      </c>
      <c r="X15" s="56" t="str">
        <f>IF(AND('Mapa final'!$Y$35="Muy Alta",'Mapa final'!$AA$35="Moderado"),CONCATENATE("R10C",'Mapa final'!$O$35),"")</f>
        <v/>
      </c>
      <c r="Y15" s="56" t="str">
        <f>IF(AND('Mapa final'!$Y$36="Muy Alta",'Mapa final'!$AA$36="Moderado"),CONCATENATE("R10C",'Mapa final'!$O$36),"")</f>
        <v/>
      </c>
      <c r="Z15" s="56" t="str">
        <f>IF(AND('Mapa final'!$Y$37="Muy Alta",'Mapa final'!$AA$37="Moderado"),CONCATENATE("R10C",'Mapa final'!$O$37),"")</f>
        <v/>
      </c>
      <c r="AA15" s="57" t="str">
        <f>IF(AND('Mapa final'!$Y$38="Muy Alta",'Mapa final'!$AA$38="Moderado"),CONCATENATE("R10C",'Mapa final'!$O$38),"")</f>
        <v/>
      </c>
      <c r="AB15" s="49" t="str">
        <f>IF(AND('Mapa final'!$Y$33="Muy Alta",'Mapa final'!$AA$33="Mayor"),CONCATENATE("R10C",'Mapa final'!$O$33),"")</f>
        <v/>
      </c>
      <c r="AC15" s="50" t="str">
        <f>IF(AND('Mapa final'!$Y$34="Muy Alta",'Mapa final'!$AA$34="Mayor"),CONCATENATE("R10C",'Mapa final'!$O$34),"")</f>
        <v/>
      </c>
      <c r="AD15" s="50" t="str">
        <f>IF(AND('Mapa final'!$Y$35="Muy Alta",'Mapa final'!$AA$35="Mayor"),CONCATENATE("R10C",'Mapa final'!$O$35),"")</f>
        <v/>
      </c>
      <c r="AE15" s="50" t="str">
        <f>IF(AND('Mapa final'!$Y$36="Muy Alta",'Mapa final'!$AA$36="Mayor"),CONCATENATE("R10C",'Mapa final'!$O$36),"")</f>
        <v/>
      </c>
      <c r="AF15" s="50" t="str">
        <f>IF(AND('Mapa final'!$Y$37="Muy Alta",'Mapa final'!$AA$37="Mayor"),CONCATENATE("R10C",'Mapa final'!$O$37),"")</f>
        <v/>
      </c>
      <c r="AG15" s="51" t="str">
        <f>IF(AND('Mapa final'!$Y$38="Muy Alta",'Mapa final'!$AA$38="Mayor"),CONCATENATE("R10C",'Mapa final'!$O$38),"")</f>
        <v/>
      </c>
      <c r="AH15" s="58" t="str">
        <f>IF(AND('Mapa final'!$Y$33="Muy Alta",'Mapa final'!$AA$33="Catastrófico"),CONCATENATE("R10C",'Mapa final'!$O$33),"")</f>
        <v/>
      </c>
      <c r="AI15" s="59" t="str">
        <f>IF(AND('Mapa final'!$Y$34="Muy Alta",'Mapa final'!$AA$34="Catastrófico"),CONCATENATE("R10C",'Mapa final'!$O$34),"")</f>
        <v/>
      </c>
      <c r="AJ15" s="59" t="str">
        <f>IF(AND('Mapa final'!$Y$35="Muy Alta",'Mapa final'!$AA$35="Catastrófico"),CONCATENATE("R10C",'Mapa final'!$O$35),"")</f>
        <v/>
      </c>
      <c r="AK15" s="59" t="str">
        <f>IF(AND('Mapa final'!$Y$36="Muy Alta",'Mapa final'!$AA$36="Catastrófico"),CONCATENATE("R10C",'Mapa final'!$O$36),"")</f>
        <v/>
      </c>
      <c r="AL15" s="59" t="str">
        <f>IF(AND('Mapa final'!$Y$37="Muy Alta",'Mapa final'!$AA$37="Catastrófico"),CONCATENATE("R10C",'Mapa final'!$O$37),"")</f>
        <v/>
      </c>
      <c r="AM15" s="60" t="str">
        <f>IF(AND('Mapa final'!$Y$38="Muy Alta",'Mapa final'!$AA$38="Catastrófico"),CONCATENATE("R10C",'Mapa final'!$O$38),"")</f>
        <v/>
      </c>
      <c r="AN15" s="80"/>
      <c r="AO15" s="301"/>
      <c r="AP15" s="302"/>
      <c r="AQ15" s="302"/>
      <c r="AR15" s="302"/>
      <c r="AS15" s="302"/>
      <c r="AT15" s="303"/>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307"/>
      <c r="C16" s="307"/>
      <c r="D16" s="308"/>
      <c r="E16" s="275" t="s">
        <v>115</v>
      </c>
      <c r="F16" s="276"/>
      <c r="G16" s="276"/>
      <c r="H16" s="276"/>
      <c r="I16" s="276"/>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85" t="s">
        <v>80</v>
      </c>
      <c r="AP16" s="286"/>
      <c r="AQ16" s="286"/>
      <c r="AR16" s="286"/>
      <c r="AS16" s="286"/>
      <c r="AT16" s="287"/>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307"/>
      <c r="C17" s="307"/>
      <c r="D17" s="308"/>
      <c r="E17" s="294"/>
      <c r="F17" s="279"/>
      <c r="G17" s="279"/>
      <c r="H17" s="279"/>
      <c r="I17" s="279"/>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e">
        <f>IF(AND('Mapa final'!#REF!="Alta",'Mapa final'!#REF!="Leve"),CONCATENATE("R2C",'Mapa final'!#REF!),"")</f>
        <v>#REF!</v>
      </c>
      <c r="N17" s="65" t="e">
        <f>IF(AND('Mapa final'!#REF!="Alta",'Mapa final'!#REF!="Leve"),CONCATENATE("R2C",'Mapa final'!#REF!),"")</f>
        <v>#REF!</v>
      </c>
      <c r="O17" s="66" t="e">
        <f>IF(AND('Mapa final'!#REF!="Alta",'Mapa final'!#REF!="Leve"),CONCATENATE("R2C",'Mapa final'!#REF!),"")</f>
        <v>#REF!</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e">
        <f>IF(AND('Mapa final'!#REF!="Alta",'Mapa final'!#REF!="Menor"),CONCATENATE("R2C",'Mapa final'!#REF!),"")</f>
        <v>#REF!</v>
      </c>
      <c r="T17" s="65" t="e">
        <f>IF(AND('Mapa final'!#REF!="Alta",'Mapa final'!#REF!="Menor"),CONCATENATE("R2C",'Mapa final'!#REF!),"")</f>
        <v>#REF!</v>
      </c>
      <c r="U17" s="66" t="e">
        <f>IF(AND('Mapa final'!#REF!="Alta",'Mapa final'!#REF!="Menor"),CONCATENATE("R2C",'Mapa final'!#REF!),"")</f>
        <v>#REF!</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e">
        <f>IF(AND('Mapa final'!#REF!="Alta",'Mapa final'!#REF!="Moderado"),CONCATENATE("R2C",'Mapa final'!#REF!),"")</f>
        <v>#REF!</v>
      </c>
      <c r="Z17" s="50" t="e">
        <f>IF(AND('Mapa final'!#REF!="Alta",'Mapa final'!#REF!="Moderado"),CONCATENATE("R2C",'Mapa final'!#REF!),"")</f>
        <v>#REF!</v>
      </c>
      <c r="AA17" s="51" t="e">
        <f>IF(AND('Mapa final'!#REF!="Alta",'Mapa final'!#REF!="Moderado"),CONCATENATE("R2C",'Mapa final'!#REF!),"")</f>
        <v>#REF!</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e">
        <f>IF(AND('Mapa final'!#REF!="Alta",'Mapa final'!#REF!="Mayor"),CONCATENATE("R2C",'Mapa final'!#REF!),"")</f>
        <v>#REF!</v>
      </c>
      <c r="AF17" s="50" t="e">
        <f>IF(AND('Mapa final'!#REF!="Alta",'Mapa final'!#REF!="Mayor"),CONCATENATE("R2C",'Mapa final'!#REF!),"")</f>
        <v>#REF!</v>
      </c>
      <c r="AG17" s="51" t="e">
        <f>IF(AND('Mapa final'!#REF!="Alta",'Mapa final'!#REF!="Mayor"),CONCATENATE("R2C",'Mapa final'!#REF!),"")</f>
        <v>#REF!</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e">
        <f>IF(AND('Mapa final'!#REF!="Alta",'Mapa final'!#REF!="Catastrófico"),CONCATENATE("R2C",'Mapa final'!#REF!),"")</f>
        <v>#REF!</v>
      </c>
      <c r="AL17" s="53" t="e">
        <f>IF(AND('Mapa final'!#REF!="Alta",'Mapa final'!#REF!="Catastrófico"),CONCATENATE("R2C",'Mapa final'!#REF!),"")</f>
        <v>#REF!</v>
      </c>
      <c r="AM17" s="54" t="e">
        <f>IF(AND('Mapa final'!#REF!="Alta",'Mapa final'!#REF!="Catastrófico"),CONCATENATE("R2C",'Mapa final'!#REF!),"")</f>
        <v>#REF!</v>
      </c>
      <c r="AN17" s="80"/>
      <c r="AO17" s="288"/>
      <c r="AP17" s="289"/>
      <c r="AQ17" s="289"/>
      <c r="AR17" s="289"/>
      <c r="AS17" s="289"/>
      <c r="AT17" s="29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307"/>
      <c r="C18" s="307"/>
      <c r="D18" s="308"/>
      <c r="E18" s="278"/>
      <c r="F18" s="279"/>
      <c r="G18" s="279"/>
      <c r="H18" s="279"/>
      <c r="I18" s="279"/>
      <c r="J18" s="64" t="e">
        <f>IF(AND('Mapa final'!#REF!="Alta",'Mapa final'!#REF!="Leve"),CONCATENATE("R3C",'Mapa final'!#REF!),"")</f>
        <v>#REF!</v>
      </c>
      <c r="K18" s="65" t="e">
        <f>IF(AND('Mapa final'!#REF!="Alta",'Mapa final'!#REF!="Leve"),CONCATENATE("R3C",'Mapa final'!#REF!),"")</f>
        <v>#REF!</v>
      </c>
      <c r="L18" s="65" t="e">
        <f>IF(AND('Mapa final'!#REF!="Alta",'Mapa final'!#REF!="Leve"),CONCATENATE("R3C",'Mapa final'!#REF!),"")</f>
        <v>#REF!</v>
      </c>
      <c r="M18" s="65" t="e">
        <f>IF(AND('Mapa final'!#REF!="Alta",'Mapa final'!#REF!="Leve"),CONCATENATE("R3C",'Mapa final'!#REF!),"")</f>
        <v>#REF!</v>
      </c>
      <c r="N18" s="65" t="e">
        <f>IF(AND('Mapa final'!#REF!="Alta",'Mapa final'!#REF!="Leve"),CONCATENATE("R3C",'Mapa final'!#REF!),"")</f>
        <v>#REF!</v>
      </c>
      <c r="O18" s="66" t="e">
        <f>IF(AND('Mapa final'!#REF!="Alta",'Mapa final'!#REF!="Leve"),CONCATENATE("R3C",'Mapa final'!#REF!),"")</f>
        <v>#REF!</v>
      </c>
      <c r="P18" s="64" t="e">
        <f>IF(AND('Mapa final'!#REF!="Alta",'Mapa final'!#REF!="Menor"),CONCATENATE("R3C",'Mapa final'!#REF!),"")</f>
        <v>#REF!</v>
      </c>
      <c r="Q18" s="65" t="e">
        <f>IF(AND('Mapa final'!#REF!="Alta",'Mapa final'!#REF!="Menor"),CONCATENATE("R3C",'Mapa final'!#REF!),"")</f>
        <v>#REF!</v>
      </c>
      <c r="R18" s="65" t="e">
        <f>IF(AND('Mapa final'!#REF!="Alta",'Mapa final'!#REF!="Menor"),CONCATENATE("R3C",'Mapa final'!#REF!),"")</f>
        <v>#REF!</v>
      </c>
      <c r="S18" s="65" t="e">
        <f>IF(AND('Mapa final'!#REF!="Alta",'Mapa final'!#REF!="Menor"),CONCATENATE("R3C",'Mapa final'!#REF!),"")</f>
        <v>#REF!</v>
      </c>
      <c r="T18" s="65" t="e">
        <f>IF(AND('Mapa final'!#REF!="Alta",'Mapa final'!#REF!="Menor"),CONCATENATE("R3C",'Mapa final'!#REF!),"")</f>
        <v>#REF!</v>
      </c>
      <c r="U18" s="66" t="e">
        <f>IF(AND('Mapa final'!#REF!="Alta",'Mapa final'!#REF!="Menor"),CONCATENATE("R3C",'Mapa final'!#REF!),"")</f>
        <v>#REF!</v>
      </c>
      <c r="V18" s="49" t="e">
        <f>IF(AND('Mapa final'!#REF!="Alta",'Mapa final'!#REF!="Moderado"),CONCATENATE("R3C",'Mapa final'!#REF!),"")</f>
        <v>#REF!</v>
      </c>
      <c r="W18" s="50" t="e">
        <f>IF(AND('Mapa final'!#REF!="Alta",'Mapa final'!#REF!="Moderado"),CONCATENATE("R3C",'Mapa final'!#REF!),"")</f>
        <v>#REF!</v>
      </c>
      <c r="X18" s="50" t="e">
        <f>IF(AND('Mapa final'!#REF!="Alta",'Mapa final'!#REF!="Moderado"),CONCATENATE("R3C",'Mapa final'!#REF!),"")</f>
        <v>#REF!</v>
      </c>
      <c r="Y18" s="50" t="e">
        <f>IF(AND('Mapa final'!#REF!="Alta",'Mapa final'!#REF!="Moderado"),CONCATENATE("R3C",'Mapa final'!#REF!),"")</f>
        <v>#REF!</v>
      </c>
      <c r="Z18" s="50" t="e">
        <f>IF(AND('Mapa final'!#REF!="Alta",'Mapa final'!#REF!="Moderado"),CONCATENATE("R3C",'Mapa final'!#REF!),"")</f>
        <v>#REF!</v>
      </c>
      <c r="AA18" s="51" t="e">
        <f>IF(AND('Mapa final'!#REF!="Alta",'Mapa final'!#REF!="Moderado"),CONCATENATE("R3C",'Mapa final'!#REF!),"")</f>
        <v>#REF!</v>
      </c>
      <c r="AB18" s="49" t="e">
        <f>IF(AND('Mapa final'!#REF!="Alta",'Mapa final'!#REF!="Mayor"),CONCATENATE("R3C",'Mapa final'!#REF!),"")</f>
        <v>#REF!</v>
      </c>
      <c r="AC18" s="50" t="e">
        <f>IF(AND('Mapa final'!#REF!="Alta",'Mapa final'!#REF!="Mayor"),CONCATENATE("R3C",'Mapa final'!#REF!),"")</f>
        <v>#REF!</v>
      </c>
      <c r="AD18" s="50" t="e">
        <f>IF(AND('Mapa final'!#REF!="Alta",'Mapa final'!#REF!="Mayor"),CONCATENATE("R3C",'Mapa final'!#REF!),"")</f>
        <v>#REF!</v>
      </c>
      <c r="AE18" s="50" t="e">
        <f>IF(AND('Mapa final'!#REF!="Alta",'Mapa final'!#REF!="Mayor"),CONCATENATE("R3C",'Mapa final'!#REF!),"")</f>
        <v>#REF!</v>
      </c>
      <c r="AF18" s="50" t="e">
        <f>IF(AND('Mapa final'!#REF!="Alta",'Mapa final'!#REF!="Mayor"),CONCATENATE("R3C",'Mapa final'!#REF!),"")</f>
        <v>#REF!</v>
      </c>
      <c r="AG18" s="51" t="e">
        <f>IF(AND('Mapa final'!#REF!="Alta",'Mapa final'!#REF!="Mayor"),CONCATENATE("R3C",'Mapa final'!#REF!),"")</f>
        <v>#REF!</v>
      </c>
      <c r="AH18" s="52" t="e">
        <f>IF(AND('Mapa final'!#REF!="Alta",'Mapa final'!#REF!="Catastrófico"),CONCATENATE("R3C",'Mapa final'!#REF!),"")</f>
        <v>#REF!</v>
      </c>
      <c r="AI18" s="53" t="e">
        <f>IF(AND('Mapa final'!#REF!="Alta",'Mapa final'!#REF!="Catastrófico"),CONCATENATE("R3C",'Mapa final'!#REF!),"")</f>
        <v>#REF!</v>
      </c>
      <c r="AJ18" s="53" t="e">
        <f>IF(AND('Mapa final'!#REF!="Alta",'Mapa final'!#REF!="Catastrófico"),CONCATENATE("R3C",'Mapa final'!#REF!),"")</f>
        <v>#REF!</v>
      </c>
      <c r="AK18" s="53" t="e">
        <f>IF(AND('Mapa final'!#REF!="Alta",'Mapa final'!#REF!="Catastrófico"),CONCATENATE("R3C",'Mapa final'!#REF!),"")</f>
        <v>#REF!</v>
      </c>
      <c r="AL18" s="53" t="e">
        <f>IF(AND('Mapa final'!#REF!="Alta",'Mapa final'!#REF!="Catastrófico"),CONCATENATE("R3C",'Mapa final'!#REF!),"")</f>
        <v>#REF!</v>
      </c>
      <c r="AM18" s="54" t="e">
        <f>IF(AND('Mapa final'!#REF!="Alta",'Mapa final'!#REF!="Catastrófico"),CONCATENATE("R3C",'Mapa final'!#REF!),"")</f>
        <v>#REF!</v>
      </c>
      <c r="AN18" s="80"/>
      <c r="AO18" s="288"/>
      <c r="AP18" s="289"/>
      <c r="AQ18" s="289"/>
      <c r="AR18" s="289"/>
      <c r="AS18" s="289"/>
      <c r="AT18" s="29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307"/>
      <c r="C19" s="307"/>
      <c r="D19" s="308"/>
      <c r="E19" s="278"/>
      <c r="F19" s="279"/>
      <c r="G19" s="279"/>
      <c r="H19" s="279"/>
      <c r="I19" s="279"/>
      <c r="J19" s="64" t="str">
        <f>IF(AND('Mapa final'!$Y$19="Alta",'Mapa final'!$AA$19="Leve"),CONCATENATE("R4C",'Mapa final'!$O$19),"")</f>
        <v/>
      </c>
      <c r="K19" s="65" t="e">
        <f>IF(AND('Mapa final'!#REF!="Alta",'Mapa final'!#REF!="Leve"),CONCATENATE("R4C",'Mapa final'!#REF!),"")</f>
        <v>#REF!</v>
      </c>
      <c r="L19" s="65" t="e">
        <f>IF(AND('Mapa final'!#REF!="Alta",'Mapa final'!#REF!="Leve"),CONCATENATE("R4C",'Mapa final'!#REF!),"")</f>
        <v>#REF!</v>
      </c>
      <c r="M19" s="65" t="e">
        <f>IF(AND('Mapa final'!#REF!="Alta",'Mapa final'!#REF!="Leve"),CONCATENATE("R4C",'Mapa final'!#REF!),"")</f>
        <v>#REF!</v>
      </c>
      <c r="N19" s="65" t="e">
        <f>IF(AND('Mapa final'!#REF!="Alta",'Mapa final'!#REF!="Leve"),CONCATENATE("R4C",'Mapa final'!#REF!),"")</f>
        <v>#REF!</v>
      </c>
      <c r="O19" s="66" t="e">
        <f>IF(AND('Mapa final'!#REF!="Alta",'Mapa final'!#REF!="Leve"),CONCATENATE("R4C",'Mapa final'!#REF!),"")</f>
        <v>#REF!</v>
      </c>
      <c r="P19" s="64" t="str">
        <f>IF(AND('Mapa final'!$Y$19="Alta",'Mapa final'!$AA$19="Menor"),CONCATENATE("R4C",'Mapa final'!$O$19),"")</f>
        <v/>
      </c>
      <c r="Q19" s="65" t="e">
        <f>IF(AND('Mapa final'!#REF!="Alta",'Mapa final'!#REF!="Menor"),CONCATENATE("R4C",'Mapa final'!#REF!),"")</f>
        <v>#REF!</v>
      </c>
      <c r="R19" s="65" t="e">
        <f>IF(AND('Mapa final'!#REF!="Alta",'Mapa final'!#REF!="Menor"),CONCATENATE("R4C",'Mapa final'!#REF!),"")</f>
        <v>#REF!</v>
      </c>
      <c r="S19" s="65" t="e">
        <f>IF(AND('Mapa final'!#REF!="Alta",'Mapa final'!#REF!="Menor"),CONCATENATE("R4C",'Mapa final'!#REF!),"")</f>
        <v>#REF!</v>
      </c>
      <c r="T19" s="65" t="e">
        <f>IF(AND('Mapa final'!#REF!="Alta",'Mapa final'!#REF!="Menor"),CONCATENATE("R4C",'Mapa final'!#REF!),"")</f>
        <v>#REF!</v>
      </c>
      <c r="U19" s="66" t="e">
        <f>IF(AND('Mapa final'!#REF!="Alta",'Mapa final'!#REF!="Menor"),CONCATENATE("R4C",'Mapa final'!#REF!),"")</f>
        <v>#REF!</v>
      </c>
      <c r="V19" s="49" t="str">
        <f>IF(AND('Mapa final'!$Y$19="Alta",'Mapa final'!$AA$19="Moderado"),CONCATENATE("R4C",'Mapa final'!$O$19),"")</f>
        <v/>
      </c>
      <c r="W19" s="50" t="e">
        <f>IF(AND('Mapa final'!#REF!="Alta",'Mapa final'!#REF!="Moderado"),CONCATENATE("R4C",'Mapa final'!#REF!),"")</f>
        <v>#REF!</v>
      </c>
      <c r="X19" s="50" t="e">
        <f>IF(AND('Mapa final'!#REF!="Alta",'Mapa final'!#REF!="Moderado"),CONCATENATE("R4C",'Mapa final'!#REF!),"")</f>
        <v>#REF!</v>
      </c>
      <c r="Y19" s="50" t="e">
        <f>IF(AND('Mapa final'!#REF!="Alta",'Mapa final'!#REF!="Moderado"),CONCATENATE("R4C",'Mapa final'!#REF!),"")</f>
        <v>#REF!</v>
      </c>
      <c r="Z19" s="50" t="e">
        <f>IF(AND('Mapa final'!#REF!="Alta",'Mapa final'!#REF!="Moderado"),CONCATENATE("R4C",'Mapa final'!#REF!),"")</f>
        <v>#REF!</v>
      </c>
      <c r="AA19" s="51" t="e">
        <f>IF(AND('Mapa final'!#REF!="Alta",'Mapa final'!#REF!="Moderado"),CONCATENATE("R4C",'Mapa final'!#REF!),"")</f>
        <v>#REF!</v>
      </c>
      <c r="AB19" s="49" t="str">
        <f>IF(AND('Mapa final'!$Y$19="Alta",'Mapa final'!$AA$19="Mayor"),CONCATENATE("R4C",'Mapa final'!$O$19),"")</f>
        <v/>
      </c>
      <c r="AC19" s="50" t="e">
        <f>IF(AND('Mapa final'!#REF!="Alta",'Mapa final'!#REF!="Mayor"),CONCATENATE("R4C",'Mapa final'!#REF!),"")</f>
        <v>#REF!</v>
      </c>
      <c r="AD19" s="50" t="e">
        <f>IF(AND('Mapa final'!#REF!="Alta",'Mapa final'!#REF!="Mayor"),CONCATENATE("R4C",'Mapa final'!#REF!),"")</f>
        <v>#REF!</v>
      </c>
      <c r="AE19" s="50" t="e">
        <f>IF(AND('Mapa final'!#REF!="Alta",'Mapa final'!#REF!="Mayor"),CONCATENATE("R4C",'Mapa final'!#REF!),"")</f>
        <v>#REF!</v>
      </c>
      <c r="AF19" s="50" t="e">
        <f>IF(AND('Mapa final'!#REF!="Alta",'Mapa final'!#REF!="Mayor"),CONCATENATE("R4C",'Mapa final'!#REF!),"")</f>
        <v>#REF!</v>
      </c>
      <c r="AG19" s="51" t="e">
        <f>IF(AND('Mapa final'!#REF!="Alta",'Mapa final'!#REF!="Mayor"),CONCATENATE("R4C",'Mapa final'!#REF!),"")</f>
        <v>#REF!</v>
      </c>
      <c r="AH19" s="52" t="str">
        <f>IF(AND('Mapa final'!$Y$19="Alta",'Mapa final'!$AA$19="Catastrófico"),CONCATENATE("R4C",'Mapa final'!$O$19),"")</f>
        <v/>
      </c>
      <c r="AI19" s="53" t="e">
        <f>IF(AND('Mapa final'!#REF!="Alta",'Mapa final'!#REF!="Catastrófico"),CONCATENATE("R4C",'Mapa final'!#REF!),"")</f>
        <v>#REF!</v>
      </c>
      <c r="AJ19" s="53" t="e">
        <f>IF(AND('Mapa final'!#REF!="Alta",'Mapa final'!#REF!="Catastrófico"),CONCATENATE("R4C",'Mapa final'!#REF!),"")</f>
        <v>#REF!</v>
      </c>
      <c r="AK19" s="53" t="e">
        <f>IF(AND('Mapa final'!#REF!="Alta",'Mapa final'!#REF!="Catastrófico"),CONCATENATE("R4C",'Mapa final'!#REF!),"")</f>
        <v>#REF!</v>
      </c>
      <c r="AL19" s="53" t="e">
        <f>IF(AND('Mapa final'!#REF!="Alta",'Mapa final'!#REF!="Catastrófico"),CONCATENATE("R4C",'Mapa final'!#REF!),"")</f>
        <v>#REF!</v>
      </c>
      <c r="AM19" s="54" t="e">
        <f>IF(AND('Mapa final'!#REF!="Alta",'Mapa final'!#REF!="Catastrófico"),CONCATENATE("R4C",'Mapa final'!#REF!),"")</f>
        <v>#REF!</v>
      </c>
      <c r="AN19" s="80"/>
      <c r="AO19" s="288"/>
      <c r="AP19" s="289"/>
      <c r="AQ19" s="289"/>
      <c r="AR19" s="289"/>
      <c r="AS19" s="289"/>
      <c r="AT19" s="29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307"/>
      <c r="C20" s="307"/>
      <c r="D20" s="308"/>
      <c r="E20" s="278"/>
      <c r="F20" s="279"/>
      <c r="G20" s="279"/>
      <c r="H20" s="279"/>
      <c r="I20" s="279"/>
      <c r="J20" s="64" t="str">
        <f>IF(AND('Mapa final'!$Y$20="Alta",'Mapa final'!$AA$20="Leve"),CONCATENATE("R5C",'Mapa final'!$O$20),"")</f>
        <v/>
      </c>
      <c r="K20" s="65" t="str">
        <f>IF(AND('Mapa final'!$Y$21="Alta",'Mapa final'!$AA$21="Leve"),CONCATENATE("R5C",'Mapa final'!$O$21),"")</f>
        <v/>
      </c>
      <c r="L20" s="65" t="str">
        <f>IF(AND('Mapa final'!$Y$22="Alta",'Mapa final'!$AA$22="Leve"),CONCATENATE("R5C",'Mapa final'!$O$22),"")</f>
        <v/>
      </c>
      <c r="M20" s="65" t="str">
        <f>IF(AND('Mapa final'!$Y$23="Alta",'Mapa final'!$AA$23="Leve"),CONCATENATE("R5C",'Mapa final'!$O$23),"")</f>
        <v/>
      </c>
      <c r="N20" s="65" t="str">
        <f>IF(AND('Mapa final'!$Y$24="Alta",'Mapa final'!$AA$24="Leve"),CONCATENATE("R5C",'Mapa final'!$O$24),"")</f>
        <v/>
      </c>
      <c r="O20" s="66" t="str">
        <f>IF(AND('Mapa final'!$Y$25="Alta",'Mapa final'!$AA$25="Leve"),CONCATENATE("R5C",'Mapa final'!$O$25),"")</f>
        <v/>
      </c>
      <c r="P20" s="64" t="str">
        <f>IF(AND('Mapa final'!$Y$20="Alta",'Mapa final'!$AA$20="Menor"),CONCATENATE("R5C",'Mapa final'!$O$20),"")</f>
        <v/>
      </c>
      <c r="Q20" s="65" t="str">
        <f>IF(AND('Mapa final'!$Y$21="Alta",'Mapa final'!$AA$21="Menor"),CONCATENATE("R5C",'Mapa final'!$O$21),"")</f>
        <v/>
      </c>
      <c r="R20" s="65" t="str">
        <f>IF(AND('Mapa final'!$Y$22="Alta",'Mapa final'!$AA$22="Menor"),CONCATENATE("R5C",'Mapa final'!$O$22),"")</f>
        <v/>
      </c>
      <c r="S20" s="65" t="str">
        <f>IF(AND('Mapa final'!$Y$23="Alta",'Mapa final'!$AA$23="Menor"),CONCATENATE("R5C",'Mapa final'!$O$23),"")</f>
        <v/>
      </c>
      <c r="T20" s="65" t="str">
        <f>IF(AND('Mapa final'!$Y$24="Alta",'Mapa final'!$AA$24="Menor"),CONCATENATE("R5C",'Mapa final'!$O$24),"")</f>
        <v/>
      </c>
      <c r="U20" s="66" t="str">
        <f>IF(AND('Mapa final'!$Y$25="Alta",'Mapa final'!$AA$25="Menor"),CONCATENATE("R5C",'Mapa final'!$O$25),"")</f>
        <v/>
      </c>
      <c r="V20" s="49" t="str">
        <f>IF(AND('Mapa final'!$Y$20="Alta",'Mapa final'!$AA$20="Moderado"),CONCATENATE("R5C",'Mapa final'!$O$20),"")</f>
        <v/>
      </c>
      <c r="W20" s="50" t="str">
        <f>IF(AND('Mapa final'!$Y$21="Alta",'Mapa final'!$AA$21="Moderado"),CONCATENATE("R5C",'Mapa final'!$O$21),"")</f>
        <v/>
      </c>
      <c r="X20" s="50" t="str">
        <f>IF(AND('Mapa final'!$Y$22="Alta",'Mapa final'!$AA$22="Moderado"),CONCATENATE("R5C",'Mapa final'!$O$22),"")</f>
        <v/>
      </c>
      <c r="Y20" s="50" t="str">
        <f>IF(AND('Mapa final'!$Y$23="Alta",'Mapa final'!$AA$23="Moderado"),CONCATENATE("R5C",'Mapa final'!$O$23),"")</f>
        <v/>
      </c>
      <c r="Z20" s="50" t="str">
        <f>IF(AND('Mapa final'!$Y$24="Alta",'Mapa final'!$AA$24="Moderado"),CONCATENATE("R5C",'Mapa final'!$O$24),"")</f>
        <v/>
      </c>
      <c r="AA20" s="51" t="str">
        <f>IF(AND('Mapa final'!$Y$25="Alta",'Mapa final'!$AA$25="Moderado"),CONCATENATE("R5C",'Mapa final'!$O$25),"")</f>
        <v/>
      </c>
      <c r="AB20" s="49" t="str">
        <f>IF(AND('Mapa final'!$Y$20="Alta",'Mapa final'!$AA$20="Mayor"),CONCATENATE("R5C",'Mapa final'!$O$20),"")</f>
        <v/>
      </c>
      <c r="AC20" s="50" t="str">
        <f>IF(AND('Mapa final'!$Y$21="Alta",'Mapa final'!$AA$21="Mayor"),CONCATENATE("R5C",'Mapa final'!$O$21),"")</f>
        <v/>
      </c>
      <c r="AD20" s="50" t="str">
        <f>IF(AND('Mapa final'!$Y$22="Alta",'Mapa final'!$AA$22="Mayor"),CONCATENATE("R5C",'Mapa final'!$O$22),"")</f>
        <v/>
      </c>
      <c r="AE20" s="50" t="str">
        <f>IF(AND('Mapa final'!$Y$23="Alta",'Mapa final'!$AA$23="Mayor"),CONCATENATE("R5C",'Mapa final'!$O$23),"")</f>
        <v/>
      </c>
      <c r="AF20" s="50" t="str">
        <f>IF(AND('Mapa final'!$Y$24="Alta",'Mapa final'!$AA$24="Mayor"),CONCATENATE("R5C",'Mapa final'!$O$24),"")</f>
        <v/>
      </c>
      <c r="AG20" s="51" t="str">
        <f>IF(AND('Mapa final'!$Y$25="Alta",'Mapa final'!$AA$25="Mayor"),CONCATENATE("R5C",'Mapa final'!$O$25),"")</f>
        <v/>
      </c>
      <c r="AH20" s="52" t="str">
        <f>IF(AND('Mapa final'!$Y$20="Alta",'Mapa final'!$AA$20="Catastrófico"),CONCATENATE("R5C",'Mapa final'!$O$20),"")</f>
        <v/>
      </c>
      <c r="AI20" s="53" t="str">
        <f>IF(AND('Mapa final'!$Y$21="Alta",'Mapa final'!$AA$21="Catastrófico"),CONCATENATE("R5C",'Mapa final'!$O$21),"")</f>
        <v/>
      </c>
      <c r="AJ20" s="53" t="str">
        <f>IF(AND('Mapa final'!$Y$22="Alta",'Mapa final'!$AA$22="Catastrófico"),CONCATENATE("R5C",'Mapa final'!$O$22),"")</f>
        <v/>
      </c>
      <c r="AK20" s="53" t="str">
        <f>IF(AND('Mapa final'!$Y$23="Alta",'Mapa final'!$AA$23="Catastrófico"),CONCATENATE("R5C",'Mapa final'!$O$23),"")</f>
        <v/>
      </c>
      <c r="AL20" s="53" t="str">
        <f>IF(AND('Mapa final'!$Y$24="Alta",'Mapa final'!$AA$24="Catastrófico"),CONCATENATE("R5C",'Mapa final'!$O$24),"")</f>
        <v/>
      </c>
      <c r="AM20" s="54" t="str">
        <f>IF(AND('Mapa final'!$Y$25="Alta",'Mapa final'!$AA$25="Catastrófico"),CONCATENATE("R5C",'Mapa final'!$O$25),"")</f>
        <v/>
      </c>
      <c r="AN20" s="80"/>
      <c r="AO20" s="288"/>
      <c r="AP20" s="289"/>
      <c r="AQ20" s="289"/>
      <c r="AR20" s="289"/>
      <c r="AS20" s="289"/>
      <c r="AT20" s="29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307"/>
      <c r="C21" s="307"/>
      <c r="D21" s="308"/>
      <c r="E21" s="278"/>
      <c r="F21" s="279"/>
      <c r="G21" s="279"/>
      <c r="H21" s="279"/>
      <c r="I21" s="279"/>
      <c r="J21" s="64" t="str">
        <f>IF(AND('Mapa final'!$Y$26="Alta",'Mapa final'!$AA$26="Leve"),CONCATENATE("R6C",'Mapa final'!$O$26),"")</f>
        <v/>
      </c>
      <c r="K21" s="65" t="e">
        <f>IF(AND('Mapa final'!#REF!="Alta",'Mapa final'!#REF!="Leve"),CONCATENATE("R6C",'Mapa final'!#REF!),"")</f>
        <v>#REF!</v>
      </c>
      <c r="L21" s="65" t="e">
        <f>IF(AND('Mapa final'!#REF!="Alta",'Mapa final'!#REF!="Leve"),CONCATENATE("R6C",'Mapa final'!#REF!),"")</f>
        <v>#REF!</v>
      </c>
      <c r="M21" s="65" t="str">
        <f>IF(AND('Mapa final'!$Y$27="Alta",'Mapa final'!$AA$27="Leve"),CONCATENATE("R6C",'Mapa final'!$O$27),"")</f>
        <v/>
      </c>
      <c r="N21" s="65" t="str">
        <f>IF(AND('Mapa final'!$Y$28="Alta",'Mapa final'!$AA$28="Leve"),CONCATENATE("R6C",'Mapa final'!$O$28),"")</f>
        <v/>
      </c>
      <c r="O21" s="66" t="e">
        <f>IF(AND('Mapa final'!#REF!="Alta",'Mapa final'!#REF!="Leve"),CONCATENATE("R6C",'Mapa final'!#REF!),"")</f>
        <v>#REF!</v>
      </c>
      <c r="P21" s="64" t="str">
        <f>IF(AND('Mapa final'!$Y$26="Alta",'Mapa final'!$AA$26="Menor"),CONCATENATE("R6C",'Mapa final'!$O$26),"")</f>
        <v/>
      </c>
      <c r="Q21" s="65" t="e">
        <f>IF(AND('Mapa final'!#REF!="Alta",'Mapa final'!#REF!="Menor"),CONCATENATE("R6C",'Mapa final'!#REF!),"")</f>
        <v>#REF!</v>
      </c>
      <c r="R21" s="65" t="e">
        <f>IF(AND('Mapa final'!#REF!="Alta",'Mapa final'!#REF!="Menor"),CONCATENATE("R6C",'Mapa final'!#REF!),"")</f>
        <v>#REF!</v>
      </c>
      <c r="S21" s="65" t="str">
        <f>IF(AND('Mapa final'!$Y$27="Alta",'Mapa final'!$AA$27="Menor"),CONCATENATE("R6C",'Mapa final'!$O$27),"")</f>
        <v/>
      </c>
      <c r="T21" s="65" t="str">
        <f>IF(AND('Mapa final'!$Y$28="Alta",'Mapa final'!$AA$28="Menor"),CONCATENATE("R6C",'Mapa final'!$O$28),"")</f>
        <v/>
      </c>
      <c r="U21" s="66" t="e">
        <f>IF(AND('Mapa final'!#REF!="Alta",'Mapa final'!#REF!="Menor"),CONCATENATE("R6C",'Mapa final'!#REF!),"")</f>
        <v>#REF!</v>
      </c>
      <c r="V21" s="49" t="str">
        <f>IF(AND('Mapa final'!$Y$26="Alta",'Mapa final'!$AA$26="Moderado"),CONCATENATE("R6C",'Mapa final'!$O$26),"")</f>
        <v/>
      </c>
      <c r="W21" s="50" t="e">
        <f>IF(AND('Mapa final'!#REF!="Alta",'Mapa final'!#REF!="Moderado"),CONCATENATE("R6C",'Mapa final'!#REF!),"")</f>
        <v>#REF!</v>
      </c>
      <c r="X21" s="50" t="e">
        <f>IF(AND('Mapa final'!#REF!="Alta",'Mapa final'!#REF!="Moderado"),CONCATENATE("R6C",'Mapa final'!#REF!),"")</f>
        <v>#REF!</v>
      </c>
      <c r="Y21" s="50" t="str">
        <f>IF(AND('Mapa final'!$Y$27="Alta",'Mapa final'!$AA$27="Moderado"),CONCATENATE("R6C",'Mapa final'!$O$27),"")</f>
        <v/>
      </c>
      <c r="Z21" s="50" t="str">
        <f>IF(AND('Mapa final'!$Y$28="Alta",'Mapa final'!$AA$28="Moderado"),CONCATENATE("R6C",'Mapa final'!$O$28),"")</f>
        <v/>
      </c>
      <c r="AA21" s="51" t="e">
        <f>IF(AND('Mapa final'!#REF!="Alta",'Mapa final'!#REF!="Moderado"),CONCATENATE("R6C",'Mapa final'!#REF!),"")</f>
        <v>#REF!</v>
      </c>
      <c r="AB21" s="49" t="str">
        <f>IF(AND('Mapa final'!$Y$26="Alta",'Mapa final'!$AA$26="Mayor"),CONCATENATE("R6C",'Mapa final'!$O$26),"")</f>
        <v/>
      </c>
      <c r="AC21" s="50" t="e">
        <f>IF(AND('Mapa final'!#REF!="Alta",'Mapa final'!#REF!="Mayor"),CONCATENATE("R6C",'Mapa final'!#REF!),"")</f>
        <v>#REF!</v>
      </c>
      <c r="AD21" s="50" t="e">
        <f>IF(AND('Mapa final'!#REF!="Alta",'Mapa final'!#REF!="Mayor"),CONCATENATE("R6C",'Mapa final'!#REF!),"")</f>
        <v>#REF!</v>
      </c>
      <c r="AE21" s="50" t="str">
        <f>IF(AND('Mapa final'!$Y$27="Alta",'Mapa final'!$AA$27="Mayor"),CONCATENATE("R6C",'Mapa final'!$O$27),"")</f>
        <v/>
      </c>
      <c r="AF21" s="50" t="str">
        <f>IF(AND('Mapa final'!$Y$28="Alta",'Mapa final'!$AA$28="Mayor"),CONCATENATE("R6C",'Mapa final'!$O$28),"")</f>
        <v/>
      </c>
      <c r="AG21" s="51" t="e">
        <f>IF(AND('Mapa final'!#REF!="Alta",'Mapa final'!#REF!="Mayor"),CONCATENATE("R6C",'Mapa final'!#REF!),"")</f>
        <v>#REF!</v>
      </c>
      <c r="AH21" s="52" t="str">
        <f>IF(AND('Mapa final'!$Y$26="Alta",'Mapa final'!$AA$26="Catastrófico"),CONCATENATE("R6C",'Mapa final'!$O$26),"")</f>
        <v/>
      </c>
      <c r="AI21" s="53" t="e">
        <f>IF(AND('Mapa final'!#REF!="Alta",'Mapa final'!#REF!="Catastrófico"),CONCATENATE("R6C",'Mapa final'!#REF!),"")</f>
        <v>#REF!</v>
      </c>
      <c r="AJ21" s="53" t="e">
        <f>IF(AND('Mapa final'!#REF!="Alta",'Mapa final'!#REF!="Catastrófico"),CONCATENATE("R6C",'Mapa final'!#REF!),"")</f>
        <v>#REF!</v>
      </c>
      <c r="AK21" s="53" t="str">
        <f>IF(AND('Mapa final'!$Y$27="Alta",'Mapa final'!$AA$27="Catastrófico"),CONCATENATE("R6C",'Mapa final'!$O$27),"")</f>
        <v/>
      </c>
      <c r="AL21" s="53" t="str">
        <f>IF(AND('Mapa final'!$Y$28="Alta",'Mapa final'!$AA$28="Catastrófico"),CONCATENATE("R6C",'Mapa final'!$O$28),"")</f>
        <v/>
      </c>
      <c r="AM21" s="54" t="e">
        <f>IF(AND('Mapa final'!#REF!="Alta",'Mapa final'!#REF!="Catastrófico"),CONCATENATE("R6C",'Mapa final'!#REF!),"")</f>
        <v>#REF!</v>
      </c>
      <c r="AN21" s="80"/>
      <c r="AO21" s="288"/>
      <c r="AP21" s="289"/>
      <c r="AQ21" s="289"/>
      <c r="AR21" s="289"/>
      <c r="AS21" s="289"/>
      <c r="AT21" s="29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307"/>
      <c r="C22" s="307"/>
      <c r="D22" s="308"/>
      <c r="E22" s="278"/>
      <c r="F22" s="279"/>
      <c r="G22" s="279"/>
      <c r="H22" s="279"/>
      <c r="I22" s="279"/>
      <c r="J22" s="64" t="str">
        <f>IF(AND('Mapa final'!$Y$29="Alta",'Mapa final'!$AA$29="Leve"),CONCATENATE("R7C",'Mapa final'!$O$29),"")</f>
        <v/>
      </c>
      <c r="K22" s="65" t="e">
        <f>IF(AND('Mapa final'!#REF!="Alta",'Mapa final'!#REF!="Leve"),CONCATENATE("R7C",'Mapa final'!#REF!),"")</f>
        <v>#REF!</v>
      </c>
      <c r="L22" s="65" t="e">
        <f>IF(AND('Mapa final'!#REF!="Alta",'Mapa final'!#REF!="Leve"),CONCATENATE("R7C",'Mapa final'!#REF!),"")</f>
        <v>#REF!</v>
      </c>
      <c r="M22" s="65" t="e">
        <f>IF(AND('Mapa final'!#REF!="Alta",'Mapa final'!#REF!="Leve"),CONCATENATE("R7C",'Mapa final'!#REF!),"")</f>
        <v>#REF!</v>
      </c>
      <c r="N22" s="65" t="e">
        <f>IF(AND('Mapa final'!#REF!="Alta",'Mapa final'!#REF!="Leve"),CONCATENATE("R7C",'Mapa final'!#REF!),"")</f>
        <v>#REF!</v>
      </c>
      <c r="O22" s="66" t="str">
        <f>IF(AND('Mapa final'!$Y$30="Alta",'Mapa final'!$AA$30="Leve"),CONCATENATE("R7C",'Mapa final'!$O$30),"")</f>
        <v/>
      </c>
      <c r="P22" s="64" t="str">
        <f>IF(AND('Mapa final'!$Y$29="Alta",'Mapa final'!$AA$29="Menor"),CONCATENATE("R7C",'Mapa final'!$O$29),"")</f>
        <v/>
      </c>
      <c r="Q22" s="65" t="e">
        <f>IF(AND('Mapa final'!#REF!="Alta",'Mapa final'!#REF!="Menor"),CONCATENATE("R7C",'Mapa final'!#REF!),"")</f>
        <v>#REF!</v>
      </c>
      <c r="R22" s="65" t="e">
        <f>IF(AND('Mapa final'!#REF!="Alta",'Mapa final'!#REF!="Menor"),CONCATENATE("R7C",'Mapa final'!#REF!),"")</f>
        <v>#REF!</v>
      </c>
      <c r="S22" s="65" t="e">
        <f>IF(AND('Mapa final'!#REF!="Alta",'Mapa final'!#REF!="Menor"),CONCATENATE("R7C",'Mapa final'!#REF!),"")</f>
        <v>#REF!</v>
      </c>
      <c r="T22" s="65" t="e">
        <f>IF(AND('Mapa final'!#REF!="Alta",'Mapa final'!#REF!="Menor"),CONCATENATE("R7C",'Mapa final'!#REF!),"")</f>
        <v>#REF!</v>
      </c>
      <c r="U22" s="66" t="str">
        <f>IF(AND('Mapa final'!$Y$30="Alta",'Mapa final'!$AA$30="Menor"),CONCATENATE("R7C",'Mapa final'!$O$30),"")</f>
        <v/>
      </c>
      <c r="V22" s="49" t="str">
        <f>IF(AND('Mapa final'!$Y$29="Alta",'Mapa final'!$AA$29="Moderado"),CONCATENATE("R7C",'Mapa final'!$O$29),"")</f>
        <v/>
      </c>
      <c r="W22" s="50" t="e">
        <f>IF(AND('Mapa final'!#REF!="Alta",'Mapa final'!#REF!="Moderado"),CONCATENATE("R7C",'Mapa final'!#REF!),"")</f>
        <v>#REF!</v>
      </c>
      <c r="X22" s="50" t="e">
        <f>IF(AND('Mapa final'!#REF!="Alta",'Mapa final'!#REF!="Moderado"),CONCATENATE("R7C",'Mapa final'!#REF!),"")</f>
        <v>#REF!</v>
      </c>
      <c r="Y22" s="50" t="e">
        <f>IF(AND('Mapa final'!#REF!="Alta",'Mapa final'!#REF!="Moderado"),CONCATENATE("R7C",'Mapa final'!#REF!),"")</f>
        <v>#REF!</v>
      </c>
      <c r="Z22" s="50" t="e">
        <f>IF(AND('Mapa final'!#REF!="Alta",'Mapa final'!#REF!="Moderado"),CONCATENATE("R7C",'Mapa final'!#REF!),"")</f>
        <v>#REF!</v>
      </c>
      <c r="AA22" s="51" t="str">
        <f>IF(AND('Mapa final'!$Y$30="Alta",'Mapa final'!$AA$30="Moderado"),CONCATENATE("R7C",'Mapa final'!$O$30),"")</f>
        <v/>
      </c>
      <c r="AB22" s="49" t="str">
        <f>IF(AND('Mapa final'!$Y$29="Alta",'Mapa final'!$AA$29="Mayor"),CONCATENATE("R7C",'Mapa final'!$O$29),"")</f>
        <v/>
      </c>
      <c r="AC22" s="50" t="e">
        <f>IF(AND('Mapa final'!#REF!="Alta",'Mapa final'!#REF!="Mayor"),CONCATENATE("R7C",'Mapa final'!#REF!),"")</f>
        <v>#REF!</v>
      </c>
      <c r="AD22" s="50" t="e">
        <f>IF(AND('Mapa final'!#REF!="Alta",'Mapa final'!#REF!="Mayor"),CONCATENATE("R7C",'Mapa final'!#REF!),"")</f>
        <v>#REF!</v>
      </c>
      <c r="AE22" s="50" t="e">
        <f>IF(AND('Mapa final'!#REF!="Alta",'Mapa final'!#REF!="Mayor"),CONCATENATE("R7C",'Mapa final'!#REF!),"")</f>
        <v>#REF!</v>
      </c>
      <c r="AF22" s="50" t="e">
        <f>IF(AND('Mapa final'!#REF!="Alta",'Mapa final'!#REF!="Mayor"),CONCATENATE("R7C",'Mapa final'!#REF!),"")</f>
        <v>#REF!</v>
      </c>
      <c r="AG22" s="51" t="str">
        <f>IF(AND('Mapa final'!$Y$30="Alta",'Mapa final'!$AA$30="Mayor"),CONCATENATE("R7C",'Mapa final'!$O$30),"")</f>
        <v/>
      </c>
      <c r="AH22" s="52" t="str">
        <f>IF(AND('Mapa final'!$Y$29="Alta",'Mapa final'!$AA$29="Catastrófico"),CONCATENATE("R7C",'Mapa final'!$O$29),"")</f>
        <v/>
      </c>
      <c r="AI22" s="53" t="e">
        <f>IF(AND('Mapa final'!#REF!="Alta",'Mapa final'!#REF!="Catastrófico"),CONCATENATE("R7C",'Mapa final'!#REF!),"")</f>
        <v>#REF!</v>
      </c>
      <c r="AJ22" s="53" t="e">
        <f>IF(AND('Mapa final'!#REF!="Alta",'Mapa final'!#REF!="Catastrófico"),CONCATENATE("R7C",'Mapa final'!#REF!),"")</f>
        <v>#REF!</v>
      </c>
      <c r="AK22" s="53" t="e">
        <f>IF(AND('Mapa final'!#REF!="Alta",'Mapa final'!#REF!="Catastrófico"),CONCATENATE("R7C",'Mapa final'!#REF!),"")</f>
        <v>#REF!</v>
      </c>
      <c r="AL22" s="53" t="e">
        <f>IF(AND('Mapa final'!#REF!="Alta",'Mapa final'!#REF!="Catastrófico"),CONCATENATE("R7C",'Mapa final'!#REF!),"")</f>
        <v>#REF!</v>
      </c>
      <c r="AM22" s="54" t="str">
        <f>IF(AND('Mapa final'!$Y$30="Alta",'Mapa final'!$AA$30="Catastrófico"),CONCATENATE("R7C",'Mapa final'!$O$30),"")</f>
        <v/>
      </c>
      <c r="AN22" s="80"/>
      <c r="AO22" s="288"/>
      <c r="AP22" s="289"/>
      <c r="AQ22" s="289"/>
      <c r="AR22" s="289"/>
      <c r="AS22" s="289"/>
      <c r="AT22" s="29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307"/>
      <c r="C23" s="307"/>
      <c r="D23" s="308"/>
      <c r="E23" s="278"/>
      <c r="F23" s="279"/>
      <c r="G23" s="279"/>
      <c r="H23" s="279"/>
      <c r="I23" s="279"/>
      <c r="J23" s="64" t="str">
        <f>IF(AND('Mapa final'!$Y$31="Alta",'Mapa final'!$AA$31="Leve"),CONCATENATE("R8C",'Mapa final'!$O$31),"")</f>
        <v/>
      </c>
      <c r="K23" s="65" t="e">
        <f>IF(AND('Mapa final'!#REF!="Alta",'Mapa final'!#REF!="Leve"),CONCATENATE("R8C",'Mapa final'!#REF!),"")</f>
        <v>#REF!</v>
      </c>
      <c r="L23" s="65" t="e">
        <f>IF(AND('Mapa final'!#REF!="Alta",'Mapa final'!#REF!="Leve"),CONCATENATE("R8C",'Mapa final'!#REF!),"")</f>
        <v>#REF!</v>
      </c>
      <c r="M23" s="65" t="e">
        <f>IF(AND('Mapa final'!#REF!="Alta",'Mapa final'!#REF!="Leve"),CONCATENATE("R8C",'Mapa final'!#REF!),"")</f>
        <v>#REF!</v>
      </c>
      <c r="N23" s="65" t="e">
        <f>IF(AND('Mapa final'!#REF!="Alta",'Mapa final'!#REF!="Leve"),CONCATENATE("R8C",'Mapa final'!#REF!),"")</f>
        <v>#REF!</v>
      </c>
      <c r="O23" s="66" t="e">
        <f>IF(AND('Mapa final'!#REF!="Alta",'Mapa final'!#REF!="Leve"),CONCATENATE("R8C",'Mapa final'!#REF!),"")</f>
        <v>#REF!</v>
      </c>
      <c r="P23" s="64" t="str">
        <f>IF(AND('Mapa final'!$Y$31="Alta",'Mapa final'!$AA$31="Menor"),CONCATENATE("R8C",'Mapa final'!$O$31),"")</f>
        <v/>
      </c>
      <c r="Q23" s="65" t="e">
        <f>IF(AND('Mapa final'!#REF!="Alta",'Mapa final'!#REF!="Menor"),CONCATENATE("R8C",'Mapa final'!#REF!),"")</f>
        <v>#REF!</v>
      </c>
      <c r="R23" s="65" t="e">
        <f>IF(AND('Mapa final'!#REF!="Alta",'Mapa final'!#REF!="Menor"),CONCATENATE("R8C",'Mapa final'!#REF!),"")</f>
        <v>#REF!</v>
      </c>
      <c r="S23" s="65" t="e">
        <f>IF(AND('Mapa final'!#REF!="Alta",'Mapa final'!#REF!="Menor"),CONCATENATE("R8C",'Mapa final'!#REF!),"")</f>
        <v>#REF!</v>
      </c>
      <c r="T23" s="65" t="e">
        <f>IF(AND('Mapa final'!#REF!="Alta",'Mapa final'!#REF!="Menor"),CONCATENATE("R8C",'Mapa final'!#REF!),"")</f>
        <v>#REF!</v>
      </c>
      <c r="U23" s="66" t="e">
        <f>IF(AND('Mapa final'!#REF!="Alta",'Mapa final'!#REF!="Menor"),CONCATENATE("R8C",'Mapa final'!#REF!),"")</f>
        <v>#REF!</v>
      </c>
      <c r="V23" s="49" t="str">
        <f>IF(AND('Mapa final'!$Y$31="Alta",'Mapa final'!$AA$31="Moderado"),CONCATENATE("R8C",'Mapa final'!$O$31),"")</f>
        <v/>
      </c>
      <c r="W23" s="50" t="e">
        <f>IF(AND('Mapa final'!#REF!="Alta",'Mapa final'!#REF!="Moderado"),CONCATENATE("R8C",'Mapa final'!#REF!),"")</f>
        <v>#REF!</v>
      </c>
      <c r="X23" s="50" t="e">
        <f>IF(AND('Mapa final'!#REF!="Alta",'Mapa final'!#REF!="Moderado"),CONCATENATE("R8C",'Mapa final'!#REF!),"")</f>
        <v>#REF!</v>
      </c>
      <c r="Y23" s="50" t="e">
        <f>IF(AND('Mapa final'!#REF!="Alta",'Mapa final'!#REF!="Moderado"),CONCATENATE("R8C",'Mapa final'!#REF!),"")</f>
        <v>#REF!</v>
      </c>
      <c r="Z23" s="50" t="e">
        <f>IF(AND('Mapa final'!#REF!="Alta",'Mapa final'!#REF!="Moderado"),CONCATENATE("R8C",'Mapa final'!#REF!),"")</f>
        <v>#REF!</v>
      </c>
      <c r="AA23" s="51" t="e">
        <f>IF(AND('Mapa final'!#REF!="Alta",'Mapa final'!#REF!="Moderado"),CONCATENATE("R8C",'Mapa final'!#REF!),"")</f>
        <v>#REF!</v>
      </c>
      <c r="AB23" s="49" t="str">
        <f>IF(AND('Mapa final'!$Y$31="Alta",'Mapa final'!$AA$31="Mayor"),CONCATENATE("R8C",'Mapa final'!$O$31),"")</f>
        <v/>
      </c>
      <c r="AC23" s="50" t="e">
        <f>IF(AND('Mapa final'!#REF!="Alta",'Mapa final'!#REF!="Mayor"),CONCATENATE("R8C",'Mapa final'!#REF!),"")</f>
        <v>#REF!</v>
      </c>
      <c r="AD23" s="50" t="e">
        <f>IF(AND('Mapa final'!#REF!="Alta",'Mapa final'!#REF!="Mayor"),CONCATENATE("R8C",'Mapa final'!#REF!),"")</f>
        <v>#REF!</v>
      </c>
      <c r="AE23" s="50" t="e">
        <f>IF(AND('Mapa final'!#REF!="Alta",'Mapa final'!#REF!="Mayor"),CONCATENATE("R8C",'Mapa final'!#REF!),"")</f>
        <v>#REF!</v>
      </c>
      <c r="AF23" s="50" t="e">
        <f>IF(AND('Mapa final'!#REF!="Alta",'Mapa final'!#REF!="Mayor"),CONCATENATE("R8C",'Mapa final'!#REF!),"")</f>
        <v>#REF!</v>
      </c>
      <c r="AG23" s="51" t="e">
        <f>IF(AND('Mapa final'!#REF!="Alta",'Mapa final'!#REF!="Mayor"),CONCATENATE("R8C",'Mapa final'!#REF!),"")</f>
        <v>#REF!</v>
      </c>
      <c r="AH23" s="52" t="str">
        <f>IF(AND('Mapa final'!$Y$31="Alta",'Mapa final'!$AA$31="Catastrófico"),CONCATENATE("R8C",'Mapa final'!$O$31),"")</f>
        <v/>
      </c>
      <c r="AI23" s="53" t="e">
        <f>IF(AND('Mapa final'!#REF!="Alta",'Mapa final'!#REF!="Catastrófico"),CONCATENATE("R8C",'Mapa final'!#REF!),"")</f>
        <v>#REF!</v>
      </c>
      <c r="AJ23" s="53" t="e">
        <f>IF(AND('Mapa final'!#REF!="Alta",'Mapa final'!#REF!="Catastrófico"),CONCATENATE("R8C",'Mapa final'!#REF!),"")</f>
        <v>#REF!</v>
      </c>
      <c r="AK23" s="53" t="e">
        <f>IF(AND('Mapa final'!#REF!="Alta",'Mapa final'!#REF!="Catastrófico"),CONCATENATE("R8C",'Mapa final'!#REF!),"")</f>
        <v>#REF!</v>
      </c>
      <c r="AL23" s="53" t="e">
        <f>IF(AND('Mapa final'!#REF!="Alta",'Mapa final'!#REF!="Catastrófico"),CONCATENATE("R8C",'Mapa final'!#REF!),"")</f>
        <v>#REF!</v>
      </c>
      <c r="AM23" s="54" t="e">
        <f>IF(AND('Mapa final'!#REF!="Alta",'Mapa final'!#REF!="Catastrófico"),CONCATENATE("R8C",'Mapa final'!#REF!),"")</f>
        <v>#REF!</v>
      </c>
      <c r="AN23" s="80"/>
      <c r="AO23" s="288"/>
      <c r="AP23" s="289"/>
      <c r="AQ23" s="289"/>
      <c r="AR23" s="289"/>
      <c r="AS23" s="289"/>
      <c r="AT23" s="29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307"/>
      <c r="C24" s="307"/>
      <c r="D24" s="308"/>
      <c r="E24" s="278"/>
      <c r="F24" s="279"/>
      <c r="G24" s="279"/>
      <c r="H24" s="279"/>
      <c r="I24" s="279"/>
      <c r="J24" s="64" t="str">
        <f>IF(AND('Mapa final'!$Y$32="Alta",'Mapa final'!$AA$32="Leve"),CONCATENATE("R9C",'Mapa final'!$O$32),"")</f>
        <v/>
      </c>
      <c r="K24" s="65" t="e">
        <f>IF(AND('Mapa final'!#REF!="Alta",'Mapa final'!#REF!="Leve"),CONCATENATE("R9C",'Mapa final'!#REF!),"")</f>
        <v>#REF!</v>
      </c>
      <c r="L24" s="65" t="e">
        <f>IF(AND('Mapa final'!#REF!="Alta",'Mapa final'!#REF!="Leve"),CONCATENATE("R9C",'Mapa final'!#REF!),"")</f>
        <v>#REF!</v>
      </c>
      <c r="M24" s="65" t="e">
        <f>IF(AND('Mapa final'!#REF!="Alta",'Mapa final'!#REF!="Leve"),CONCATENATE("R9C",'Mapa final'!#REF!),"")</f>
        <v>#REF!</v>
      </c>
      <c r="N24" s="65" t="e">
        <f>IF(AND('Mapa final'!#REF!="Alta",'Mapa final'!#REF!="Leve"),CONCATENATE("R9C",'Mapa final'!#REF!),"")</f>
        <v>#REF!</v>
      </c>
      <c r="O24" s="66" t="e">
        <f>IF(AND('Mapa final'!#REF!="Alta",'Mapa final'!#REF!="Leve"),CONCATENATE("R9C",'Mapa final'!#REF!),"")</f>
        <v>#REF!</v>
      </c>
      <c r="P24" s="64" t="str">
        <f>IF(AND('Mapa final'!$Y$32="Alta",'Mapa final'!$AA$32="Menor"),CONCATENATE("R9C",'Mapa final'!$O$32),"")</f>
        <v/>
      </c>
      <c r="Q24" s="65" t="e">
        <f>IF(AND('Mapa final'!#REF!="Alta",'Mapa final'!#REF!="Menor"),CONCATENATE("R9C",'Mapa final'!#REF!),"")</f>
        <v>#REF!</v>
      </c>
      <c r="R24" s="65" t="e">
        <f>IF(AND('Mapa final'!#REF!="Alta",'Mapa final'!#REF!="Menor"),CONCATENATE("R9C",'Mapa final'!#REF!),"")</f>
        <v>#REF!</v>
      </c>
      <c r="S24" s="65" t="e">
        <f>IF(AND('Mapa final'!#REF!="Alta",'Mapa final'!#REF!="Menor"),CONCATENATE("R9C",'Mapa final'!#REF!),"")</f>
        <v>#REF!</v>
      </c>
      <c r="T24" s="65" t="e">
        <f>IF(AND('Mapa final'!#REF!="Alta",'Mapa final'!#REF!="Menor"),CONCATENATE("R9C",'Mapa final'!#REF!),"")</f>
        <v>#REF!</v>
      </c>
      <c r="U24" s="66" t="e">
        <f>IF(AND('Mapa final'!#REF!="Alta",'Mapa final'!#REF!="Menor"),CONCATENATE("R9C",'Mapa final'!#REF!),"")</f>
        <v>#REF!</v>
      </c>
      <c r="V24" s="49" t="str">
        <f>IF(AND('Mapa final'!$Y$32="Alta",'Mapa final'!$AA$32="Moderado"),CONCATENATE("R9C",'Mapa final'!$O$32),"")</f>
        <v/>
      </c>
      <c r="W24" s="50" t="e">
        <f>IF(AND('Mapa final'!#REF!="Alta",'Mapa final'!#REF!="Moderado"),CONCATENATE("R9C",'Mapa final'!#REF!),"")</f>
        <v>#REF!</v>
      </c>
      <c r="X24" s="50" t="e">
        <f>IF(AND('Mapa final'!#REF!="Alta",'Mapa final'!#REF!="Moderado"),CONCATENATE("R9C",'Mapa final'!#REF!),"")</f>
        <v>#REF!</v>
      </c>
      <c r="Y24" s="50" t="e">
        <f>IF(AND('Mapa final'!#REF!="Alta",'Mapa final'!#REF!="Moderado"),CONCATENATE("R9C",'Mapa final'!#REF!),"")</f>
        <v>#REF!</v>
      </c>
      <c r="Z24" s="50" t="e">
        <f>IF(AND('Mapa final'!#REF!="Alta",'Mapa final'!#REF!="Moderado"),CONCATENATE("R9C",'Mapa final'!#REF!),"")</f>
        <v>#REF!</v>
      </c>
      <c r="AA24" s="51" t="e">
        <f>IF(AND('Mapa final'!#REF!="Alta",'Mapa final'!#REF!="Moderado"),CONCATENATE("R9C",'Mapa final'!#REF!),"")</f>
        <v>#REF!</v>
      </c>
      <c r="AB24" s="49" t="str">
        <f>IF(AND('Mapa final'!$Y$32="Alta",'Mapa final'!$AA$32="Mayor"),CONCATENATE("R9C",'Mapa final'!$O$32),"")</f>
        <v/>
      </c>
      <c r="AC24" s="50" t="e">
        <f>IF(AND('Mapa final'!#REF!="Alta",'Mapa final'!#REF!="Mayor"),CONCATENATE("R9C",'Mapa final'!#REF!),"")</f>
        <v>#REF!</v>
      </c>
      <c r="AD24" s="50" t="e">
        <f>IF(AND('Mapa final'!#REF!="Alta",'Mapa final'!#REF!="Mayor"),CONCATENATE("R9C",'Mapa final'!#REF!),"")</f>
        <v>#REF!</v>
      </c>
      <c r="AE24" s="50" t="e">
        <f>IF(AND('Mapa final'!#REF!="Alta",'Mapa final'!#REF!="Mayor"),CONCATENATE("R9C",'Mapa final'!#REF!),"")</f>
        <v>#REF!</v>
      </c>
      <c r="AF24" s="50" t="e">
        <f>IF(AND('Mapa final'!#REF!="Alta",'Mapa final'!#REF!="Mayor"),CONCATENATE("R9C",'Mapa final'!#REF!),"")</f>
        <v>#REF!</v>
      </c>
      <c r="AG24" s="51" t="e">
        <f>IF(AND('Mapa final'!#REF!="Alta",'Mapa final'!#REF!="Mayor"),CONCATENATE("R9C",'Mapa final'!#REF!),"")</f>
        <v>#REF!</v>
      </c>
      <c r="AH24" s="52" t="str">
        <f>IF(AND('Mapa final'!$Y$32="Alta",'Mapa final'!$AA$32="Catastrófico"),CONCATENATE("R9C",'Mapa final'!$O$32),"")</f>
        <v/>
      </c>
      <c r="AI24" s="53" t="e">
        <f>IF(AND('Mapa final'!#REF!="Alta",'Mapa final'!#REF!="Catastrófico"),CONCATENATE("R9C",'Mapa final'!#REF!),"")</f>
        <v>#REF!</v>
      </c>
      <c r="AJ24" s="53" t="e">
        <f>IF(AND('Mapa final'!#REF!="Alta",'Mapa final'!#REF!="Catastrófico"),CONCATENATE("R9C",'Mapa final'!#REF!),"")</f>
        <v>#REF!</v>
      </c>
      <c r="AK24" s="53" t="e">
        <f>IF(AND('Mapa final'!#REF!="Alta",'Mapa final'!#REF!="Catastrófico"),CONCATENATE("R9C",'Mapa final'!#REF!),"")</f>
        <v>#REF!</v>
      </c>
      <c r="AL24" s="53" t="e">
        <f>IF(AND('Mapa final'!#REF!="Alta",'Mapa final'!#REF!="Catastrófico"),CONCATENATE("R9C",'Mapa final'!#REF!),"")</f>
        <v>#REF!</v>
      </c>
      <c r="AM24" s="54" t="e">
        <f>IF(AND('Mapa final'!#REF!="Alta",'Mapa final'!#REF!="Catastrófico"),CONCATENATE("R9C",'Mapa final'!#REF!),"")</f>
        <v>#REF!</v>
      </c>
      <c r="AN24" s="80"/>
      <c r="AO24" s="288"/>
      <c r="AP24" s="289"/>
      <c r="AQ24" s="289"/>
      <c r="AR24" s="289"/>
      <c r="AS24" s="289"/>
      <c r="AT24" s="29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307"/>
      <c r="C25" s="307"/>
      <c r="D25" s="308"/>
      <c r="E25" s="281"/>
      <c r="F25" s="282"/>
      <c r="G25" s="282"/>
      <c r="H25" s="282"/>
      <c r="I25" s="282"/>
      <c r="J25" s="67" t="str">
        <f>IF(AND('Mapa final'!$Y$33="Alta",'Mapa final'!$AA$33="Leve"),CONCATENATE("R10C",'Mapa final'!$O$33),"")</f>
        <v/>
      </c>
      <c r="K25" s="68" t="str">
        <f>IF(AND('Mapa final'!$Y$34="Alta",'Mapa final'!$AA$34="Leve"),CONCATENATE("R10C",'Mapa final'!$O$34),"")</f>
        <v/>
      </c>
      <c r="L25" s="68" t="str">
        <f>IF(AND('Mapa final'!$Y$35="Alta",'Mapa final'!$AA$35="Leve"),CONCATENATE("R10C",'Mapa final'!$O$35),"")</f>
        <v/>
      </c>
      <c r="M25" s="68" t="str">
        <f>IF(AND('Mapa final'!$Y$36="Alta",'Mapa final'!$AA$36="Leve"),CONCATENATE("R10C",'Mapa final'!$O$36),"")</f>
        <v/>
      </c>
      <c r="N25" s="68" t="str">
        <f>IF(AND('Mapa final'!$Y$37="Alta",'Mapa final'!$AA$37="Leve"),CONCATENATE("R10C",'Mapa final'!$O$37),"")</f>
        <v/>
      </c>
      <c r="O25" s="69" t="str">
        <f>IF(AND('Mapa final'!$Y$38="Alta",'Mapa final'!$AA$38="Leve"),CONCATENATE("R10C",'Mapa final'!$O$38),"")</f>
        <v/>
      </c>
      <c r="P25" s="67" t="str">
        <f>IF(AND('Mapa final'!$Y$33="Alta",'Mapa final'!$AA$33="Menor"),CONCATENATE("R10C",'Mapa final'!$O$33),"")</f>
        <v/>
      </c>
      <c r="Q25" s="68" t="str">
        <f>IF(AND('Mapa final'!$Y$34="Alta",'Mapa final'!$AA$34="Menor"),CONCATENATE("R10C",'Mapa final'!$O$34),"")</f>
        <v/>
      </c>
      <c r="R25" s="68" t="str">
        <f>IF(AND('Mapa final'!$Y$35="Alta",'Mapa final'!$AA$35="Menor"),CONCATENATE("R10C",'Mapa final'!$O$35),"")</f>
        <v/>
      </c>
      <c r="S25" s="68" t="str">
        <f>IF(AND('Mapa final'!$Y$36="Alta",'Mapa final'!$AA$36="Menor"),CONCATENATE("R10C",'Mapa final'!$O$36),"")</f>
        <v/>
      </c>
      <c r="T25" s="68" t="str">
        <f>IF(AND('Mapa final'!$Y$37="Alta",'Mapa final'!$AA$37="Menor"),CONCATENATE("R10C",'Mapa final'!$O$37),"")</f>
        <v/>
      </c>
      <c r="U25" s="69" t="str">
        <f>IF(AND('Mapa final'!$Y$38="Alta",'Mapa final'!$AA$38="Menor"),CONCATENATE("R10C",'Mapa final'!$O$38),"")</f>
        <v/>
      </c>
      <c r="V25" s="55" t="str">
        <f>IF(AND('Mapa final'!$Y$33="Alta",'Mapa final'!$AA$33="Moderado"),CONCATENATE("R10C",'Mapa final'!$O$33),"")</f>
        <v/>
      </c>
      <c r="W25" s="56" t="str">
        <f>IF(AND('Mapa final'!$Y$34="Alta",'Mapa final'!$AA$34="Moderado"),CONCATENATE("R10C",'Mapa final'!$O$34),"")</f>
        <v/>
      </c>
      <c r="X25" s="56" t="str">
        <f>IF(AND('Mapa final'!$Y$35="Alta",'Mapa final'!$AA$35="Moderado"),CONCATENATE("R10C",'Mapa final'!$O$35),"")</f>
        <v/>
      </c>
      <c r="Y25" s="56" t="str">
        <f>IF(AND('Mapa final'!$Y$36="Alta",'Mapa final'!$AA$36="Moderado"),CONCATENATE("R10C",'Mapa final'!$O$36),"")</f>
        <v/>
      </c>
      <c r="Z25" s="56" t="str">
        <f>IF(AND('Mapa final'!$Y$37="Alta",'Mapa final'!$AA$37="Moderado"),CONCATENATE("R10C",'Mapa final'!$O$37),"")</f>
        <v/>
      </c>
      <c r="AA25" s="57" t="str">
        <f>IF(AND('Mapa final'!$Y$38="Alta",'Mapa final'!$AA$38="Moderado"),CONCATENATE("R10C",'Mapa final'!$O$38),"")</f>
        <v/>
      </c>
      <c r="AB25" s="55" t="str">
        <f>IF(AND('Mapa final'!$Y$33="Alta",'Mapa final'!$AA$33="Mayor"),CONCATENATE("R10C",'Mapa final'!$O$33),"")</f>
        <v/>
      </c>
      <c r="AC25" s="56" t="str">
        <f>IF(AND('Mapa final'!$Y$34="Alta",'Mapa final'!$AA$34="Mayor"),CONCATENATE("R10C",'Mapa final'!$O$34),"")</f>
        <v/>
      </c>
      <c r="AD25" s="56" t="str">
        <f>IF(AND('Mapa final'!$Y$35="Alta",'Mapa final'!$AA$35="Mayor"),CONCATENATE("R10C",'Mapa final'!$O$35),"")</f>
        <v/>
      </c>
      <c r="AE25" s="56" t="str">
        <f>IF(AND('Mapa final'!$Y$36="Alta",'Mapa final'!$AA$36="Mayor"),CONCATENATE("R10C",'Mapa final'!$O$36),"")</f>
        <v/>
      </c>
      <c r="AF25" s="56" t="str">
        <f>IF(AND('Mapa final'!$Y$37="Alta",'Mapa final'!$AA$37="Mayor"),CONCATENATE("R10C",'Mapa final'!$O$37),"")</f>
        <v/>
      </c>
      <c r="AG25" s="57" t="str">
        <f>IF(AND('Mapa final'!$Y$38="Alta",'Mapa final'!$AA$38="Mayor"),CONCATENATE("R10C",'Mapa final'!$O$38),"")</f>
        <v/>
      </c>
      <c r="AH25" s="58" t="str">
        <f>IF(AND('Mapa final'!$Y$33="Alta",'Mapa final'!$AA$33="Catastrófico"),CONCATENATE("R10C",'Mapa final'!$O$33),"")</f>
        <v/>
      </c>
      <c r="AI25" s="59" t="str">
        <f>IF(AND('Mapa final'!$Y$34="Alta",'Mapa final'!$AA$34="Catastrófico"),CONCATENATE("R10C",'Mapa final'!$O$34),"")</f>
        <v/>
      </c>
      <c r="AJ25" s="59" t="str">
        <f>IF(AND('Mapa final'!$Y$35="Alta",'Mapa final'!$AA$35="Catastrófico"),CONCATENATE("R10C",'Mapa final'!$O$35),"")</f>
        <v/>
      </c>
      <c r="AK25" s="59" t="str">
        <f>IF(AND('Mapa final'!$Y$36="Alta",'Mapa final'!$AA$36="Catastrófico"),CONCATENATE("R10C",'Mapa final'!$O$36),"")</f>
        <v/>
      </c>
      <c r="AL25" s="59" t="str">
        <f>IF(AND('Mapa final'!$Y$37="Alta",'Mapa final'!$AA$37="Catastrófico"),CONCATENATE("R10C",'Mapa final'!$O$37),"")</f>
        <v/>
      </c>
      <c r="AM25" s="60" t="str">
        <f>IF(AND('Mapa final'!$Y$38="Alta",'Mapa final'!$AA$38="Catastrófico"),CONCATENATE("R10C",'Mapa final'!$O$38),"")</f>
        <v/>
      </c>
      <c r="AN25" s="80"/>
      <c r="AO25" s="291"/>
      <c r="AP25" s="292"/>
      <c r="AQ25" s="292"/>
      <c r="AR25" s="292"/>
      <c r="AS25" s="292"/>
      <c r="AT25" s="293"/>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307"/>
      <c r="C26" s="307"/>
      <c r="D26" s="308"/>
      <c r="E26" s="275" t="s">
        <v>117</v>
      </c>
      <c r="F26" s="276"/>
      <c r="G26" s="276"/>
      <c r="H26" s="276"/>
      <c r="I26" s="277"/>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18" t="s">
        <v>81</v>
      </c>
      <c r="AP26" s="319"/>
      <c r="AQ26" s="319"/>
      <c r="AR26" s="319"/>
      <c r="AS26" s="319"/>
      <c r="AT26" s="32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307"/>
      <c r="C27" s="307"/>
      <c r="D27" s="308"/>
      <c r="E27" s="294"/>
      <c r="F27" s="279"/>
      <c r="G27" s="279"/>
      <c r="H27" s="279"/>
      <c r="I27" s="280"/>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e">
        <f>IF(AND('Mapa final'!#REF!="Media",'Mapa final'!#REF!="Leve"),CONCATENATE("R2C",'Mapa final'!#REF!),"")</f>
        <v>#REF!</v>
      </c>
      <c r="N27" s="65" t="e">
        <f>IF(AND('Mapa final'!#REF!="Media",'Mapa final'!#REF!="Leve"),CONCATENATE("R2C",'Mapa final'!#REF!),"")</f>
        <v>#REF!</v>
      </c>
      <c r="O27" s="66" t="e">
        <f>IF(AND('Mapa final'!#REF!="Media",'Mapa final'!#REF!="Leve"),CONCATENATE("R2C",'Mapa final'!#REF!),"")</f>
        <v>#REF!</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e">
        <f>IF(AND('Mapa final'!#REF!="Media",'Mapa final'!#REF!="Menor"),CONCATENATE("R2C",'Mapa final'!#REF!),"")</f>
        <v>#REF!</v>
      </c>
      <c r="T27" s="65" t="e">
        <f>IF(AND('Mapa final'!#REF!="Media",'Mapa final'!#REF!="Menor"),CONCATENATE("R2C",'Mapa final'!#REF!),"")</f>
        <v>#REF!</v>
      </c>
      <c r="U27" s="66" t="e">
        <f>IF(AND('Mapa final'!#REF!="Media",'Mapa final'!#REF!="Menor"),CONCATENATE("R2C",'Mapa final'!#REF!),"")</f>
        <v>#REF!</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e">
        <f>IF(AND('Mapa final'!#REF!="Media",'Mapa final'!#REF!="Moderado"),CONCATENATE("R2C",'Mapa final'!#REF!),"")</f>
        <v>#REF!</v>
      </c>
      <c r="Z27" s="65" t="e">
        <f>IF(AND('Mapa final'!#REF!="Media",'Mapa final'!#REF!="Moderado"),CONCATENATE("R2C",'Mapa final'!#REF!),"")</f>
        <v>#REF!</v>
      </c>
      <c r="AA27" s="66" t="e">
        <f>IF(AND('Mapa final'!#REF!="Media",'Mapa final'!#REF!="Moderado"),CONCATENATE("R2C",'Mapa final'!#REF!),"")</f>
        <v>#REF!</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e">
        <f>IF(AND('Mapa final'!#REF!="Media",'Mapa final'!#REF!="Mayor"),CONCATENATE("R2C",'Mapa final'!#REF!),"")</f>
        <v>#REF!</v>
      </c>
      <c r="AF27" s="50" t="e">
        <f>IF(AND('Mapa final'!#REF!="Media",'Mapa final'!#REF!="Mayor"),CONCATENATE("R2C",'Mapa final'!#REF!),"")</f>
        <v>#REF!</v>
      </c>
      <c r="AG27" s="51" t="e">
        <f>IF(AND('Mapa final'!#REF!="Media",'Mapa final'!#REF!="Mayor"),CONCATENATE("R2C",'Mapa final'!#REF!),"")</f>
        <v>#REF!</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e">
        <f>IF(AND('Mapa final'!#REF!="Media",'Mapa final'!#REF!="Catastrófico"),CONCATENATE("R2C",'Mapa final'!#REF!),"")</f>
        <v>#REF!</v>
      </c>
      <c r="AL27" s="53" t="e">
        <f>IF(AND('Mapa final'!#REF!="Media",'Mapa final'!#REF!="Catastrófico"),CONCATENATE("R2C",'Mapa final'!#REF!),"")</f>
        <v>#REF!</v>
      </c>
      <c r="AM27" s="54" t="e">
        <f>IF(AND('Mapa final'!#REF!="Media",'Mapa final'!#REF!="Catastrófico"),CONCATENATE("R2C",'Mapa final'!#REF!),"")</f>
        <v>#REF!</v>
      </c>
      <c r="AN27" s="80"/>
      <c r="AO27" s="321"/>
      <c r="AP27" s="322"/>
      <c r="AQ27" s="322"/>
      <c r="AR27" s="322"/>
      <c r="AS27" s="322"/>
      <c r="AT27" s="323"/>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307"/>
      <c r="C28" s="307"/>
      <c r="D28" s="308"/>
      <c r="E28" s="278"/>
      <c r="F28" s="279"/>
      <c r="G28" s="279"/>
      <c r="H28" s="279"/>
      <c r="I28" s="280"/>
      <c r="J28" s="64" t="e">
        <f>IF(AND('Mapa final'!#REF!="Media",'Mapa final'!#REF!="Leve"),CONCATENATE("R3C",'Mapa final'!#REF!),"")</f>
        <v>#REF!</v>
      </c>
      <c r="K28" s="65" t="e">
        <f>IF(AND('Mapa final'!#REF!="Media",'Mapa final'!#REF!="Leve"),CONCATENATE("R3C",'Mapa final'!#REF!),"")</f>
        <v>#REF!</v>
      </c>
      <c r="L28" s="65" t="e">
        <f>IF(AND('Mapa final'!#REF!="Media",'Mapa final'!#REF!="Leve"),CONCATENATE("R3C",'Mapa final'!#REF!),"")</f>
        <v>#REF!</v>
      </c>
      <c r="M28" s="65" t="e">
        <f>IF(AND('Mapa final'!#REF!="Media",'Mapa final'!#REF!="Leve"),CONCATENATE("R3C",'Mapa final'!#REF!),"")</f>
        <v>#REF!</v>
      </c>
      <c r="N28" s="65" t="e">
        <f>IF(AND('Mapa final'!#REF!="Media",'Mapa final'!#REF!="Leve"),CONCATENATE("R3C",'Mapa final'!#REF!),"")</f>
        <v>#REF!</v>
      </c>
      <c r="O28" s="66" t="e">
        <f>IF(AND('Mapa final'!#REF!="Media",'Mapa final'!#REF!="Leve"),CONCATENATE("R3C",'Mapa final'!#REF!),"")</f>
        <v>#REF!</v>
      </c>
      <c r="P28" s="64" t="e">
        <f>IF(AND('Mapa final'!#REF!="Media",'Mapa final'!#REF!="Menor"),CONCATENATE("R3C",'Mapa final'!#REF!),"")</f>
        <v>#REF!</v>
      </c>
      <c r="Q28" s="65" t="e">
        <f>IF(AND('Mapa final'!#REF!="Media",'Mapa final'!#REF!="Menor"),CONCATENATE("R3C",'Mapa final'!#REF!),"")</f>
        <v>#REF!</v>
      </c>
      <c r="R28" s="65" t="e">
        <f>IF(AND('Mapa final'!#REF!="Media",'Mapa final'!#REF!="Menor"),CONCATENATE("R3C",'Mapa final'!#REF!),"")</f>
        <v>#REF!</v>
      </c>
      <c r="S28" s="65" t="e">
        <f>IF(AND('Mapa final'!#REF!="Media",'Mapa final'!#REF!="Menor"),CONCATENATE("R3C",'Mapa final'!#REF!),"")</f>
        <v>#REF!</v>
      </c>
      <c r="T28" s="65" t="e">
        <f>IF(AND('Mapa final'!#REF!="Media",'Mapa final'!#REF!="Menor"),CONCATENATE("R3C",'Mapa final'!#REF!),"")</f>
        <v>#REF!</v>
      </c>
      <c r="U28" s="66" t="e">
        <f>IF(AND('Mapa final'!#REF!="Media",'Mapa final'!#REF!="Menor"),CONCATENATE("R3C",'Mapa final'!#REF!),"")</f>
        <v>#REF!</v>
      </c>
      <c r="V28" s="64" t="e">
        <f>IF(AND('Mapa final'!#REF!="Media",'Mapa final'!#REF!="Moderado"),CONCATENATE("R3C",'Mapa final'!#REF!),"")</f>
        <v>#REF!</v>
      </c>
      <c r="W28" s="65" t="e">
        <f>IF(AND('Mapa final'!#REF!="Media",'Mapa final'!#REF!="Moderado"),CONCATENATE("R3C",'Mapa final'!#REF!),"")</f>
        <v>#REF!</v>
      </c>
      <c r="X28" s="65" t="e">
        <f>IF(AND('Mapa final'!#REF!="Media",'Mapa final'!#REF!="Moderado"),CONCATENATE("R3C",'Mapa final'!#REF!),"")</f>
        <v>#REF!</v>
      </c>
      <c r="Y28" s="65" t="e">
        <f>IF(AND('Mapa final'!#REF!="Media",'Mapa final'!#REF!="Moderado"),CONCATENATE("R3C",'Mapa final'!#REF!),"")</f>
        <v>#REF!</v>
      </c>
      <c r="Z28" s="65" t="e">
        <f>IF(AND('Mapa final'!#REF!="Media",'Mapa final'!#REF!="Moderado"),CONCATENATE("R3C",'Mapa final'!#REF!),"")</f>
        <v>#REF!</v>
      </c>
      <c r="AA28" s="66" t="e">
        <f>IF(AND('Mapa final'!#REF!="Media",'Mapa final'!#REF!="Moderado"),CONCATENATE("R3C",'Mapa final'!#REF!),"")</f>
        <v>#REF!</v>
      </c>
      <c r="AB28" s="49" t="e">
        <f>IF(AND('Mapa final'!#REF!="Media",'Mapa final'!#REF!="Mayor"),CONCATENATE("R3C",'Mapa final'!#REF!),"")</f>
        <v>#REF!</v>
      </c>
      <c r="AC28" s="50" t="e">
        <f>IF(AND('Mapa final'!#REF!="Media",'Mapa final'!#REF!="Mayor"),CONCATENATE("R3C",'Mapa final'!#REF!),"")</f>
        <v>#REF!</v>
      </c>
      <c r="AD28" s="50" t="e">
        <f>IF(AND('Mapa final'!#REF!="Media",'Mapa final'!#REF!="Mayor"),CONCATENATE("R3C",'Mapa final'!#REF!),"")</f>
        <v>#REF!</v>
      </c>
      <c r="AE28" s="50" t="e">
        <f>IF(AND('Mapa final'!#REF!="Media",'Mapa final'!#REF!="Mayor"),CONCATENATE("R3C",'Mapa final'!#REF!),"")</f>
        <v>#REF!</v>
      </c>
      <c r="AF28" s="50" t="e">
        <f>IF(AND('Mapa final'!#REF!="Media",'Mapa final'!#REF!="Mayor"),CONCATENATE("R3C",'Mapa final'!#REF!),"")</f>
        <v>#REF!</v>
      </c>
      <c r="AG28" s="51" t="e">
        <f>IF(AND('Mapa final'!#REF!="Media",'Mapa final'!#REF!="Mayor"),CONCATENATE("R3C",'Mapa final'!#REF!),"")</f>
        <v>#REF!</v>
      </c>
      <c r="AH28" s="52" t="e">
        <f>IF(AND('Mapa final'!#REF!="Media",'Mapa final'!#REF!="Catastrófico"),CONCATENATE("R3C",'Mapa final'!#REF!),"")</f>
        <v>#REF!</v>
      </c>
      <c r="AI28" s="53" t="e">
        <f>IF(AND('Mapa final'!#REF!="Media",'Mapa final'!#REF!="Catastrófico"),CONCATENATE("R3C",'Mapa final'!#REF!),"")</f>
        <v>#REF!</v>
      </c>
      <c r="AJ28" s="53" t="e">
        <f>IF(AND('Mapa final'!#REF!="Media",'Mapa final'!#REF!="Catastrófico"),CONCATENATE("R3C",'Mapa final'!#REF!),"")</f>
        <v>#REF!</v>
      </c>
      <c r="AK28" s="53" t="e">
        <f>IF(AND('Mapa final'!#REF!="Media",'Mapa final'!#REF!="Catastrófico"),CONCATENATE("R3C",'Mapa final'!#REF!),"")</f>
        <v>#REF!</v>
      </c>
      <c r="AL28" s="53" t="e">
        <f>IF(AND('Mapa final'!#REF!="Media",'Mapa final'!#REF!="Catastrófico"),CONCATENATE("R3C",'Mapa final'!#REF!),"")</f>
        <v>#REF!</v>
      </c>
      <c r="AM28" s="54" t="e">
        <f>IF(AND('Mapa final'!#REF!="Media",'Mapa final'!#REF!="Catastrófico"),CONCATENATE("R3C",'Mapa final'!#REF!),"")</f>
        <v>#REF!</v>
      </c>
      <c r="AN28" s="80"/>
      <c r="AO28" s="321"/>
      <c r="AP28" s="322"/>
      <c r="AQ28" s="322"/>
      <c r="AR28" s="322"/>
      <c r="AS28" s="322"/>
      <c r="AT28" s="323"/>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307"/>
      <c r="C29" s="307"/>
      <c r="D29" s="308"/>
      <c r="E29" s="278"/>
      <c r="F29" s="279"/>
      <c r="G29" s="279"/>
      <c r="H29" s="279"/>
      <c r="I29" s="280"/>
      <c r="J29" s="64" t="str">
        <f>IF(AND('Mapa final'!$Y$19="Media",'Mapa final'!$AA$19="Leve"),CONCATENATE("R4C",'Mapa final'!$O$19),"")</f>
        <v/>
      </c>
      <c r="K29" s="65" t="e">
        <f>IF(AND('Mapa final'!#REF!="Media",'Mapa final'!#REF!="Leve"),CONCATENATE("R4C",'Mapa final'!#REF!),"")</f>
        <v>#REF!</v>
      </c>
      <c r="L29" s="65" t="e">
        <f>IF(AND('Mapa final'!#REF!="Media",'Mapa final'!#REF!="Leve"),CONCATENATE("R4C",'Mapa final'!#REF!),"")</f>
        <v>#REF!</v>
      </c>
      <c r="M29" s="65" t="e">
        <f>IF(AND('Mapa final'!#REF!="Media",'Mapa final'!#REF!="Leve"),CONCATENATE("R4C",'Mapa final'!#REF!),"")</f>
        <v>#REF!</v>
      </c>
      <c r="N29" s="65" t="e">
        <f>IF(AND('Mapa final'!#REF!="Media",'Mapa final'!#REF!="Leve"),CONCATENATE("R4C",'Mapa final'!#REF!),"")</f>
        <v>#REF!</v>
      </c>
      <c r="O29" s="66" t="e">
        <f>IF(AND('Mapa final'!#REF!="Media",'Mapa final'!#REF!="Leve"),CONCATENATE("R4C",'Mapa final'!#REF!),"")</f>
        <v>#REF!</v>
      </c>
      <c r="P29" s="64" t="str">
        <f>IF(AND('Mapa final'!$Y$19="Media",'Mapa final'!$AA$19="Menor"),CONCATENATE("R4C",'Mapa final'!$O$19),"")</f>
        <v/>
      </c>
      <c r="Q29" s="65" t="e">
        <f>IF(AND('Mapa final'!#REF!="Media",'Mapa final'!#REF!="Menor"),CONCATENATE("R4C",'Mapa final'!#REF!),"")</f>
        <v>#REF!</v>
      </c>
      <c r="R29" s="65" t="e">
        <f>IF(AND('Mapa final'!#REF!="Media",'Mapa final'!#REF!="Menor"),CONCATENATE("R4C",'Mapa final'!#REF!),"")</f>
        <v>#REF!</v>
      </c>
      <c r="S29" s="65" t="e">
        <f>IF(AND('Mapa final'!#REF!="Media",'Mapa final'!#REF!="Menor"),CONCATENATE("R4C",'Mapa final'!#REF!),"")</f>
        <v>#REF!</v>
      </c>
      <c r="T29" s="65" t="e">
        <f>IF(AND('Mapa final'!#REF!="Media",'Mapa final'!#REF!="Menor"),CONCATENATE("R4C",'Mapa final'!#REF!),"")</f>
        <v>#REF!</v>
      </c>
      <c r="U29" s="66" t="e">
        <f>IF(AND('Mapa final'!#REF!="Media",'Mapa final'!#REF!="Menor"),CONCATENATE("R4C",'Mapa final'!#REF!),"")</f>
        <v>#REF!</v>
      </c>
      <c r="V29" s="64" t="str">
        <f>IF(AND('Mapa final'!$Y$19="Media",'Mapa final'!$AA$19="Moderado"),CONCATENATE("R4C",'Mapa final'!$O$19),"")</f>
        <v/>
      </c>
      <c r="W29" s="65" t="e">
        <f>IF(AND('Mapa final'!#REF!="Media",'Mapa final'!#REF!="Moderado"),CONCATENATE("R4C",'Mapa final'!#REF!),"")</f>
        <v>#REF!</v>
      </c>
      <c r="X29" s="65" t="e">
        <f>IF(AND('Mapa final'!#REF!="Media",'Mapa final'!#REF!="Moderado"),CONCATENATE("R4C",'Mapa final'!#REF!),"")</f>
        <v>#REF!</v>
      </c>
      <c r="Y29" s="65" t="e">
        <f>IF(AND('Mapa final'!#REF!="Media",'Mapa final'!#REF!="Moderado"),CONCATENATE("R4C",'Mapa final'!#REF!),"")</f>
        <v>#REF!</v>
      </c>
      <c r="Z29" s="65" t="e">
        <f>IF(AND('Mapa final'!#REF!="Media",'Mapa final'!#REF!="Moderado"),CONCATENATE("R4C",'Mapa final'!#REF!),"")</f>
        <v>#REF!</v>
      </c>
      <c r="AA29" s="66" t="e">
        <f>IF(AND('Mapa final'!#REF!="Media",'Mapa final'!#REF!="Moderado"),CONCATENATE("R4C",'Mapa final'!#REF!),"")</f>
        <v>#REF!</v>
      </c>
      <c r="AB29" s="49" t="str">
        <f>IF(AND('Mapa final'!$Y$19="Media",'Mapa final'!$AA$19="Mayor"),CONCATENATE("R4C",'Mapa final'!$O$19),"")</f>
        <v/>
      </c>
      <c r="AC29" s="50" t="e">
        <f>IF(AND('Mapa final'!#REF!="Media",'Mapa final'!#REF!="Mayor"),CONCATENATE("R4C",'Mapa final'!#REF!),"")</f>
        <v>#REF!</v>
      </c>
      <c r="AD29" s="50" t="e">
        <f>IF(AND('Mapa final'!#REF!="Media",'Mapa final'!#REF!="Mayor"),CONCATENATE("R4C",'Mapa final'!#REF!),"")</f>
        <v>#REF!</v>
      </c>
      <c r="AE29" s="50" t="e">
        <f>IF(AND('Mapa final'!#REF!="Media",'Mapa final'!#REF!="Mayor"),CONCATENATE("R4C",'Mapa final'!#REF!),"")</f>
        <v>#REF!</v>
      </c>
      <c r="AF29" s="50" t="e">
        <f>IF(AND('Mapa final'!#REF!="Media",'Mapa final'!#REF!="Mayor"),CONCATENATE("R4C",'Mapa final'!#REF!),"")</f>
        <v>#REF!</v>
      </c>
      <c r="AG29" s="51" t="e">
        <f>IF(AND('Mapa final'!#REF!="Media",'Mapa final'!#REF!="Mayor"),CONCATENATE("R4C",'Mapa final'!#REF!),"")</f>
        <v>#REF!</v>
      </c>
      <c r="AH29" s="52" t="str">
        <f>IF(AND('Mapa final'!$Y$19="Media",'Mapa final'!$AA$19="Catastrófico"),CONCATENATE("R4C",'Mapa final'!$O$19),"")</f>
        <v/>
      </c>
      <c r="AI29" s="53" t="e">
        <f>IF(AND('Mapa final'!#REF!="Media",'Mapa final'!#REF!="Catastrófico"),CONCATENATE("R4C",'Mapa final'!#REF!),"")</f>
        <v>#REF!</v>
      </c>
      <c r="AJ29" s="53" t="e">
        <f>IF(AND('Mapa final'!#REF!="Media",'Mapa final'!#REF!="Catastrófico"),CONCATENATE("R4C",'Mapa final'!#REF!),"")</f>
        <v>#REF!</v>
      </c>
      <c r="AK29" s="53" t="e">
        <f>IF(AND('Mapa final'!#REF!="Media",'Mapa final'!#REF!="Catastrófico"),CONCATENATE("R4C",'Mapa final'!#REF!),"")</f>
        <v>#REF!</v>
      </c>
      <c r="AL29" s="53" t="e">
        <f>IF(AND('Mapa final'!#REF!="Media",'Mapa final'!#REF!="Catastrófico"),CONCATENATE("R4C",'Mapa final'!#REF!),"")</f>
        <v>#REF!</v>
      </c>
      <c r="AM29" s="54" t="e">
        <f>IF(AND('Mapa final'!#REF!="Media",'Mapa final'!#REF!="Catastrófico"),CONCATENATE("R4C",'Mapa final'!#REF!),"")</f>
        <v>#REF!</v>
      </c>
      <c r="AN29" s="80"/>
      <c r="AO29" s="321"/>
      <c r="AP29" s="322"/>
      <c r="AQ29" s="322"/>
      <c r="AR29" s="322"/>
      <c r="AS29" s="322"/>
      <c r="AT29" s="323"/>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307"/>
      <c r="C30" s="307"/>
      <c r="D30" s="308"/>
      <c r="E30" s="278"/>
      <c r="F30" s="279"/>
      <c r="G30" s="279"/>
      <c r="H30" s="279"/>
      <c r="I30" s="280"/>
      <c r="J30" s="64" t="str">
        <f>IF(AND('Mapa final'!$Y$20="Media",'Mapa final'!$AA$20="Leve"),CONCATENATE("R5C",'Mapa final'!$O$20),"")</f>
        <v/>
      </c>
      <c r="K30" s="65" t="str">
        <f>IF(AND('Mapa final'!$Y$21="Media",'Mapa final'!$AA$21="Leve"),CONCATENATE("R5C",'Mapa final'!$O$21),"")</f>
        <v/>
      </c>
      <c r="L30" s="65" t="str">
        <f>IF(AND('Mapa final'!$Y$22="Media",'Mapa final'!$AA$22="Leve"),CONCATENATE("R5C",'Mapa final'!$O$22),"")</f>
        <v/>
      </c>
      <c r="M30" s="65" t="str">
        <f>IF(AND('Mapa final'!$Y$23="Media",'Mapa final'!$AA$23="Leve"),CONCATENATE("R5C",'Mapa final'!$O$23),"")</f>
        <v/>
      </c>
      <c r="N30" s="65" t="str">
        <f>IF(AND('Mapa final'!$Y$24="Media",'Mapa final'!$AA$24="Leve"),CONCATENATE("R5C",'Mapa final'!$O$24),"")</f>
        <v/>
      </c>
      <c r="O30" s="66" t="str">
        <f>IF(AND('Mapa final'!$Y$25="Media",'Mapa final'!$AA$25="Leve"),CONCATENATE("R5C",'Mapa final'!$O$25),"")</f>
        <v/>
      </c>
      <c r="P30" s="64" t="str">
        <f>IF(AND('Mapa final'!$Y$20="Media",'Mapa final'!$AA$20="Menor"),CONCATENATE("R5C",'Mapa final'!$O$20),"")</f>
        <v/>
      </c>
      <c r="Q30" s="65" t="str">
        <f>IF(AND('Mapa final'!$Y$21="Media",'Mapa final'!$AA$21="Menor"),CONCATENATE("R5C",'Mapa final'!$O$21),"")</f>
        <v/>
      </c>
      <c r="R30" s="65" t="str">
        <f>IF(AND('Mapa final'!$Y$22="Media",'Mapa final'!$AA$22="Menor"),CONCATENATE("R5C",'Mapa final'!$O$22),"")</f>
        <v/>
      </c>
      <c r="S30" s="65" t="str">
        <f>IF(AND('Mapa final'!$Y$23="Media",'Mapa final'!$AA$23="Menor"),CONCATENATE("R5C",'Mapa final'!$O$23),"")</f>
        <v/>
      </c>
      <c r="T30" s="65" t="str">
        <f>IF(AND('Mapa final'!$Y$24="Media",'Mapa final'!$AA$24="Menor"),CONCATENATE("R5C",'Mapa final'!$O$24),"")</f>
        <v/>
      </c>
      <c r="U30" s="66" t="str">
        <f>IF(AND('Mapa final'!$Y$25="Media",'Mapa final'!$AA$25="Menor"),CONCATENATE("R5C",'Mapa final'!$O$25),"")</f>
        <v/>
      </c>
      <c r="V30" s="64" t="str">
        <f>IF(AND('Mapa final'!$Y$20="Media",'Mapa final'!$AA$20="Moderado"),CONCATENATE("R5C",'Mapa final'!$O$20),"")</f>
        <v/>
      </c>
      <c r="W30" s="65" t="str">
        <f>IF(AND('Mapa final'!$Y$21="Media",'Mapa final'!$AA$21="Moderado"),CONCATENATE("R5C",'Mapa final'!$O$21),"")</f>
        <v/>
      </c>
      <c r="X30" s="65" t="str">
        <f>IF(AND('Mapa final'!$Y$22="Media",'Mapa final'!$AA$22="Moderado"),CONCATENATE("R5C",'Mapa final'!$O$22),"")</f>
        <v/>
      </c>
      <c r="Y30" s="65" t="str">
        <f>IF(AND('Mapa final'!$Y$23="Media",'Mapa final'!$AA$23="Moderado"),CONCATENATE("R5C",'Mapa final'!$O$23),"")</f>
        <v/>
      </c>
      <c r="Z30" s="65" t="str">
        <f>IF(AND('Mapa final'!$Y$24="Media",'Mapa final'!$AA$24="Moderado"),CONCATENATE("R5C",'Mapa final'!$O$24),"")</f>
        <v/>
      </c>
      <c r="AA30" s="66" t="str">
        <f>IF(AND('Mapa final'!$Y$25="Media",'Mapa final'!$AA$25="Moderado"),CONCATENATE("R5C",'Mapa final'!$O$25),"")</f>
        <v/>
      </c>
      <c r="AB30" s="49" t="str">
        <f>IF(AND('Mapa final'!$Y$20="Media",'Mapa final'!$AA$20="Mayor"),CONCATENATE("R5C",'Mapa final'!$O$20),"")</f>
        <v>R5C1</v>
      </c>
      <c r="AC30" s="50" t="str">
        <f>IF(AND('Mapa final'!$Y$21="Media",'Mapa final'!$AA$21="Mayor"),CONCATENATE("R5C",'Mapa final'!$O$21),"")</f>
        <v/>
      </c>
      <c r="AD30" s="50" t="str">
        <f>IF(AND('Mapa final'!$Y$22="Media",'Mapa final'!$AA$22="Mayor"),CONCATENATE("R5C",'Mapa final'!$O$22),"")</f>
        <v/>
      </c>
      <c r="AE30" s="50" t="str">
        <f>IF(AND('Mapa final'!$Y$23="Media",'Mapa final'!$AA$23="Mayor"),CONCATENATE("R5C",'Mapa final'!$O$23),"")</f>
        <v/>
      </c>
      <c r="AF30" s="50" t="str">
        <f>IF(AND('Mapa final'!$Y$24="Media",'Mapa final'!$AA$24="Mayor"),CONCATENATE("R5C",'Mapa final'!$O$24),"")</f>
        <v/>
      </c>
      <c r="AG30" s="51" t="str">
        <f>IF(AND('Mapa final'!$Y$25="Media",'Mapa final'!$AA$25="Mayor"),CONCATENATE("R5C",'Mapa final'!$O$25),"")</f>
        <v/>
      </c>
      <c r="AH30" s="52" t="str">
        <f>IF(AND('Mapa final'!$Y$20="Media",'Mapa final'!$AA$20="Catastrófico"),CONCATENATE("R5C",'Mapa final'!$O$20),"")</f>
        <v/>
      </c>
      <c r="AI30" s="53" t="str">
        <f>IF(AND('Mapa final'!$Y$21="Media",'Mapa final'!$AA$21="Catastrófico"),CONCATENATE("R5C",'Mapa final'!$O$21),"")</f>
        <v/>
      </c>
      <c r="AJ30" s="53" t="str">
        <f>IF(AND('Mapa final'!$Y$22="Media",'Mapa final'!$AA$22="Catastrófico"),CONCATENATE("R5C",'Mapa final'!$O$22),"")</f>
        <v/>
      </c>
      <c r="AK30" s="53" t="str">
        <f>IF(AND('Mapa final'!$Y$23="Media",'Mapa final'!$AA$23="Catastrófico"),CONCATENATE("R5C",'Mapa final'!$O$23),"")</f>
        <v/>
      </c>
      <c r="AL30" s="53" t="str">
        <f>IF(AND('Mapa final'!$Y$24="Media",'Mapa final'!$AA$24="Catastrófico"),CONCATENATE("R5C",'Mapa final'!$O$24),"")</f>
        <v/>
      </c>
      <c r="AM30" s="54" t="str">
        <f>IF(AND('Mapa final'!$Y$25="Media",'Mapa final'!$AA$25="Catastrófico"),CONCATENATE("R5C",'Mapa final'!$O$25),"")</f>
        <v/>
      </c>
      <c r="AN30" s="80"/>
      <c r="AO30" s="321"/>
      <c r="AP30" s="322"/>
      <c r="AQ30" s="322"/>
      <c r="AR30" s="322"/>
      <c r="AS30" s="322"/>
      <c r="AT30" s="32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307"/>
      <c r="C31" s="307"/>
      <c r="D31" s="308"/>
      <c r="E31" s="278"/>
      <c r="F31" s="279"/>
      <c r="G31" s="279"/>
      <c r="H31" s="279"/>
      <c r="I31" s="280"/>
      <c r="J31" s="64" t="str">
        <f>IF(AND('Mapa final'!$Y$26="Media",'Mapa final'!$AA$26="Leve"),CONCATENATE("R6C",'Mapa final'!$O$26),"")</f>
        <v/>
      </c>
      <c r="K31" s="65" t="e">
        <f>IF(AND('Mapa final'!#REF!="Media",'Mapa final'!#REF!="Leve"),CONCATENATE("R6C",'Mapa final'!#REF!),"")</f>
        <v>#REF!</v>
      </c>
      <c r="L31" s="65" t="e">
        <f>IF(AND('Mapa final'!#REF!="Media",'Mapa final'!#REF!="Leve"),CONCATENATE("R6C",'Mapa final'!#REF!),"")</f>
        <v>#REF!</v>
      </c>
      <c r="M31" s="65" t="str">
        <f>IF(AND('Mapa final'!$Y$27="Media",'Mapa final'!$AA$27="Leve"),CONCATENATE("R6C",'Mapa final'!$O$27),"")</f>
        <v/>
      </c>
      <c r="N31" s="65" t="str">
        <f>IF(AND('Mapa final'!$Y$28="Media",'Mapa final'!$AA$28="Leve"),CONCATENATE("R6C",'Mapa final'!$O$28),"")</f>
        <v/>
      </c>
      <c r="O31" s="66" t="e">
        <f>IF(AND('Mapa final'!#REF!="Media",'Mapa final'!#REF!="Leve"),CONCATENATE("R6C",'Mapa final'!#REF!),"")</f>
        <v>#REF!</v>
      </c>
      <c r="P31" s="64" t="str">
        <f>IF(AND('Mapa final'!$Y$26="Media",'Mapa final'!$AA$26="Menor"),CONCATENATE("R6C",'Mapa final'!$O$26),"")</f>
        <v/>
      </c>
      <c r="Q31" s="65" t="e">
        <f>IF(AND('Mapa final'!#REF!="Media",'Mapa final'!#REF!="Menor"),CONCATENATE("R6C",'Mapa final'!#REF!),"")</f>
        <v>#REF!</v>
      </c>
      <c r="R31" s="65" t="e">
        <f>IF(AND('Mapa final'!#REF!="Media",'Mapa final'!#REF!="Menor"),CONCATENATE("R6C",'Mapa final'!#REF!),"")</f>
        <v>#REF!</v>
      </c>
      <c r="S31" s="65" t="str">
        <f>IF(AND('Mapa final'!$Y$27="Media",'Mapa final'!$AA$27="Menor"),CONCATENATE("R6C",'Mapa final'!$O$27),"")</f>
        <v/>
      </c>
      <c r="T31" s="65" t="str">
        <f>IF(AND('Mapa final'!$Y$28="Media",'Mapa final'!$AA$28="Menor"),CONCATENATE("R6C",'Mapa final'!$O$28),"")</f>
        <v/>
      </c>
      <c r="U31" s="66" t="e">
        <f>IF(AND('Mapa final'!#REF!="Media",'Mapa final'!#REF!="Menor"),CONCATENATE("R6C",'Mapa final'!#REF!),"")</f>
        <v>#REF!</v>
      </c>
      <c r="V31" s="64" t="str">
        <f>IF(AND('Mapa final'!$Y$26="Media",'Mapa final'!$AA$26="Moderado"),CONCATENATE("R6C",'Mapa final'!$O$26),"")</f>
        <v/>
      </c>
      <c r="W31" s="65" t="e">
        <f>IF(AND('Mapa final'!#REF!="Media",'Mapa final'!#REF!="Moderado"),CONCATENATE("R6C",'Mapa final'!#REF!),"")</f>
        <v>#REF!</v>
      </c>
      <c r="X31" s="65" t="e">
        <f>IF(AND('Mapa final'!#REF!="Media",'Mapa final'!#REF!="Moderado"),CONCATENATE("R6C",'Mapa final'!#REF!),"")</f>
        <v>#REF!</v>
      </c>
      <c r="Y31" s="65" t="str">
        <f>IF(AND('Mapa final'!$Y$27="Media",'Mapa final'!$AA$27="Moderado"),CONCATENATE("R6C",'Mapa final'!$O$27),"")</f>
        <v/>
      </c>
      <c r="Z31" s="65" t="str">
        <f>IF(AND('Mapa final'!$Y$28="Media",'Mapa final'!$AA$28="Moderado"),CONCATENATE("R6C",'Mapa final'!$O$28),"")</f>
        <v/>
      </c>
      <c r="AA31" s="66" t="e">
        <f>IF(AND('Mapa final'!#REF!="Media",'Mapa final'!#REF!="Moderado"),CONCATENATE("R6C",'Mapa final'!#REF!),"")</f>
        <v>#REF!</v>
      </c>
      <c r="AB31" s="49" t="str">
        <f>IF(AND('Mapa final'!$Y$26="Media",'Mapa final'!$AA$26="Mayor"),CONCATENATE("R6C",'Mapa final'!$O$26),"")</f>
        <v/>
      </c>
      <c r="AC31" s="50" t="e">
        <f>IF(AND('Mapa final'!#REF!="Media",'Mapa final'!#REF!="Mayor"),CONCATENATE("R6C",'Mapa final'!#REF!),"")</f>
        <v>#REF!</v>
      </c>
      <c r="AD31" s="50" t="e">
        <f>IF(AND('Mapa final'!#REF!="Media",'Mapa final'!#REF!="Mayor"),CONCATENATE("R6C",'Mapa final'!#REF!),"")</f>
        <v>#REF!</v>
      </c>
      <c r="AE31" s="50" t="str">
        <f>IF(AND('Mapa final'!$Y$27="Media",'Mapa final'!$AA$27="Mayor"),CONCATENATE("R6C",'Mapa final'!$O$27),"")</f>
        <v/>
      </c>
      <c r="AF31" s="50" t="str">
        <f>IF(AND('Mapa final'!$Y$28="Media",'Mapa final'!$AA$28="Mayor"),CONCATENATE("R6C",'Mapa final'!$O$28),"")</f>
        <v/>
      </c>
      <c r="AG31" s="51" t="e">
        <f>IF(AND('Mapa final'!#REF!="Media",'Mapa final'!#REF!="Mayor"),CONCATENATE("R6C",'Mapa final'!#REF!),"")</f>
        <v>#REF!</v>
      </c>
      <c r="AH31" s="52" t="str">
        <f>IF(AND('Mapa final'!$Y$26="Media",'Mapa final'!$AA$26="Catastrófico"),CONCATENATE("R6C",'Mapa final'!$O$26),"")</f>
        <v/>
      </c>
      <c r="AI31" s="53" t="e">
        <f>IF(AND('Mapa final'!#REF!="Media",'Mapa final'!#REF!="Catastrófico"),CONCATENATE("R6C",'Mapa final'!#REF!),"")</f>
        <v>#REF!</v>
      </c>
      <c r="AJ31" s="53" t="e">
        <f>IF(AND('Mapa final'!#REF!="Media",'Mapa final'!#REF!="Catastrófico"),CONCATENATE("R6C",'Mapa final'!#REF!),"")</f>
        <v>#REF!</v>
      </c>
      <c r="AK31" s="53" t="str">
        <f>IF(AND('Mapa final'!$Y$27="Media",'Mapa final'!$AA$27="Catastrófico"),CONCATENATE("R6C",'Mapa final'!$O$27),"")</f>
        <v/>
      </c>
      <c r="AL31" s="53" t="str">
        <f>IF(AND('Mapa final'!$Y$28="Media",'Mapa final'!$AA$28="Catastrófico"),CONCATENATE("R6C",'Mapa final'!$O$28),"")</f>
        <v/>
      </c>
      <c r="AM31" s="54" t="e">
        <f>IF(AND('Mapa final'!#REF!="Media",'Mapa final'!#REF!="Catastrófico"),CONCATENATE("R6C",'Mapa final'!#REF!),"")</f>
        <v>#REF!</v>
      </c>
      <c r="AN31" s="80"/>
      <c r="AO31" s="321"/>
      <c r="AP31" s="322"/>
      <c r="AQ31" s="322"/>
      <c r="AR31" s="322"/>
      <c r="AS31" s="322"/>
      <c r="AT31" s="32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307"/>
      <c r="C32" s="307"/>
      <c r="D32" s="308"/>
      <c r="E32" s="278"/>
      <c r="F32" s="279"/>
      <c r="G32" s="279"/>
      <c r="H32" s="279"/>
      <c r="I32" s="280"/>
      <c r="J32" s="64" t="str">
        <f>IF(AND('Mapa final'!$Y$29="Media",'Mapa final'!$AA$29="Leve"),CONCATENATE("R7C",'Mapa final'!$O$29),"")</f>
        <v/>
      </c>
      <c r="K32" s="65" t="e">
        <f>IF(AND('Mapa final'!#REF!="Media",'Mapa final'!#REF!="Leve"),CONCATENATE("R7C",'Mapa final'!#REF!),"")</f>
        <v>#REF!</v>
      </c>
      <c r="L32" s="65" t="e">
        <f>IF(AND('Mapa final'!#REF!="Media",'Mapa final'!#REF!="Leve"),CONCATENATE("R7C",'Mapa final'!#REF!),"")</f>
        <v>#REF!</v>
      </c>
      <c r="M32" s="65" t="e">
        <f>IF(AND('Mapa final'!#REF!="Media",'Mapa final'!#REF!="Leve"),CONCATENATE("R7C",'Mapa final'!#REF!),"")</f>
        <v>#REF!</v>
      </c>
      <c r="N32" s="65" t="e">
        <f>IF(AND('Mapa final'!#REF!="Media",'Mapa final'!#REF!="Leve"),CONCATENATE("R7C",'Mapa final'!#REF!),"")</f>
        <v>#REF!</v>
      </c>
      <c r="O32" s="66" t="str">
        <f>IF(AND('Mapa final'!$Y$30="Media",'Mapa final'!$AA$30="Leve"),CONCATENATE("R7C",'Mapa final'!$O$30),"")</f>
        <v/>
      </c>
      <c r="P32" s="64" t="str">
        <f>IF(AND('Mapa final'!$Y$29="Media",'Mapa final'!$AA$29="Menor"),CONCATENATE("R7C",'Mapa final'!$O$29),"")</f>
        <v/>
      </c>
      <c r="Q32" s="65" t="e">
        <f>IF(AND('Mapa final'!#REF!="Media",'Mapa final'!#REF!="Menor"),CONCATENATE("R7C",'Mapa final'!#REF!),"")</f>
        <v>#REF!</v>
      </c>
      <c r="R32" s="65" t="e">
        <f>IF(AND('Mapa final'!#REF!="Media",'Mapa final'!#REF!="Menor"),CONCATENATE("R7C",'Mapa final'!#REF!),"")</f>
        <v>#REF!</v>
      </c>
      <c r="S32" s="65" t="e">
        <f>IF(AND('Mapa final'!#REF!="Media",'Mapa final'!#REF!="Menor"),CONCATENATE("R7C",'Mapa final'!#REF!),"")</f>
        <v>#REF!</v>
      </c>
      <c r="T32" s="65" t="e">
        <f>IF(AND('Mapa final'!#REF!="Media",'Mapa final'!#REF!="Menor"),CONCATENATE("R7C",'Mapa final'!#REF!),"")</f>
        <v>#REF!</v>
      </c>
      <c r="U32" s="66" t="str">
        <f>IF(AND('Mapa final'!$Y$30="Media",'Mapa final'!$AA$30="Menor"),CONCATENATE("R7C",'Mapa final'!$O$30),"")</f>
        <v/>
      </c>
      <c r="V32" s="64" t="str">
        <f>IF(AND('Mapa final'!$Y$29="Media",'Mapa final'!$AA$29="Moderado"),CONCATENATE("R7C",'Mapa final'!$O$29),"")</f>
        <v/>
      </c>
      <c r="W32" s="65" t="e">
        <f>IF(AND('Mapa final'!#REF!="Media",'Mapa final'!#REF!="Moderado"),CONCATENATE("R7C",'Mapa final'!#REF!),"")</f>
        <v>#REF!</v>
      </c>
      <c r="X32" s="65" t="e">
        <f>IF(AND('Mapa final'!#REF!="Media",'Mapa final'!#REF!="Moderado"),CONCATENATE("R7C",'Mapa final'!#REF!),"")</f>
        <v>#REF!</v>
      </c>
      <c r="Y32" s="65" t="e">
        <f>IF(AND('Mapa final'!#REF!="Media",'Mapa final'!#REF!="Moderado"),CONCATENATE("R7C",'Mapa final'!#REF!),"")</f>
        <v>#REF!</v>
      </c>
      <c r="Z32" s="65" t="e">
        <f>IF(AND('Mapa final'!#REF!="Media",'Mapa final'!#REF!="Moderado"),CONCATENATE("R7C",'Mapa final'!#REF!),"")</f>
        <v>#REF!</v>
      </c>
      <c r="AA32" s="66" t="str">
        <f>IF(AND('Mapa final'!$Y$30="Media",'Mapa final'!$AA$30="Moderado"),CONCATENATE("R7C",'Mapa final'!$O$30),"")</f>
        <v/>
      </c>
      <c r="AB32" s="49" t="str">
        <f>IF(AND('Mapa final'!$Y$29="Media",'Mapa final'!$AA$29="Mayor"),CONCATENATE("R7C",'Mapa final'!$O$29),"")</f>
        <v/>
      </c>
      <c r="AC32" s="50" t="e">
        <f>IF(AND('Mapa final'!#REF!="Media",'Mapa final'!#REF!="Mayor"),CONCATENATE("R7C",'Mapa final'!#REF!),"")</f>
        <v>#REF!</v>
      </c>
      <c r="AD32" s="50" t="e">
        <f>IF(AND('Mapa final'!#REF!="Media",'Mapa final'!#REF!="Mayor"),CONCATENATE("R7C",'Mapa final'!#REF!),"")</f>
        <v>#REF!</v>
      </c>
      <c r="AE32" s="50" t="e">
        <f>IF(AND('Mapa final'!#REF!="Media",'Mapa final'!#REF!="Mayor"),CONCATENATE("R7C",'Mapa final'!#REF!),"")</f>
        <v>#REF!</v>
      </c>
      <c r="AF32" s="50" t="e">
        <f>IF(AND('Mapa final'!#REF!="Media",'Mapa final'!#REF!="Mayor"),CONCATENATE("R7C",'Mapa final'!#REF!),"")</f>
        <v>#REF!</v>
      </c>
      <c r="AG32" s="51" t="str">
        <f>IF(AND('Mapa final'!$Y$30="Media",'Mapa final'!$AA$30="Mayor"),CONCATENATE("R7C",'Mapa final'!$O$30),"")</f>
        <v/>
      </c>
      <c r="AH32" s="52" t="str">
        <f>IF(AND('Mapa final'!$Y$29="Media",'Mapa final'!$AA$29="Catastrófico"),CONCATENATE("R7C",'Mapa final'!$O$29),"")</f>
        <v/>
      </c>
      <c r="AI32" s="53" t="e">
        <f>IF(AND('Mapa final'!#REF!="Media",'Mapa final'!#REF!="Catastrófico"),CONCATENATE("R7C",'Mapa final'!#REF!),"")</f>
        <v>#REF!</v>
      </c>
      <c r="AJ32" s="53" t="e">
        <f>IF(AND('Mapa final'!#REF!="Media",'Mapa final'!#REF!="Catastrófico"),CONCATENATE("R7C",'Mapa final'!#REF!),"")</f>
        <v>#REF!</v>
      </c>
      <c r="AK32" s="53" t="e">
        <f>IF(AND('Mapa final'!#REF!="Media",'Mapa final'!#REF!="Catastrófico"),CONCATENATE("R7C",'Mapa final'!#REF!),"")</f>
        <v>#REF!</v>
      </c>
      <c r="AL32" s="53" t="e">
        <f>IF(AND('Mapa final'!#REF!="Media",'Mapa final'!#REF!="Catastrófico"),CONCATENATE("R7C",'Mapa final'!#REF!),"")</f>
        <v>#REF!</v>
      </c>
      <c r="AM32" s="54" t="str">
        <f>IF(AND('Mapa final'!$Y$30="Media",'Mapa final'!$AA$30="Catastrófico"),CONCATENATE("R7C",'Mapa final'!$O$30),"")</f>
        <v/>
      </c>
      <c r="AN32" s="80"/>
      <c r="AO32" s="321"/>
      <c r="AP32" s="322"/>
      <c r="AQ32" s="322"/>
      <c r="AR32" s="322"/>
      <c r="AS32" s="322"/>
      <c r="AT32" s="32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307"/>
      <c r="C33" s="307"/>
      <c r="D33" s="308"/>
      <c r="E33" s="278"/>
      <c r="F33" s="279"/>
      <c r="G33" s="279"/>
      <c r="H33" s="279"/>
      <c r="I33" s="280"/>
      <c r="J33" s="64" t="str">
        <f>IF(AND('Mapa final'!$Y$31="Media",'Mapa final'!$AA$31="Leve"),CONCATENATE("R8C",'Mapa final'!$O$31),"")</f>
        <v/>
      </c>
      <c r="K33" s="65" t="e">
        <f>IF(AND('Mapa final'!#REF!="Media",'Mapa final'!#REF!="Leve"),CONCATENATE("R8C",'Mapa final'!#REF!),"")</f>
        <v>#REF!</v>
      </c>
      <c r="L33" s="65" t="e">
        <f>IF(AND('Mapa final'!#REF!="Media",'Mapa final'!#REF!="Leve"),CONCATENATE("R8C",'Mapa final'!#REF!),"")</f>
        <v>#REF!</v>
      </c>
      <c r="M33" s="65" t="e">
        <f>IF(AND('Mapa final'!#REF!="Media",'Mapa final'!#REF!="Leve"),CONCATENATE("R8C",'Mapa final'!#REF!),"")</f>
        <v>#REF!</v>
      </c>
      <c r="N33" s="65" t="e">
        <f>IF(AND('Mapa final'!#REF!="Media",'Mapa final'!#REF!="Leve"),CONCATENATE("R8C",'Mapa final'!#REF!),"")</f>
        <v>#REF!</v>
      </c>
      <c r="O33" s="66" t="e">
        <f>IF(AND('Mapa final'!#REF!="Media",'Mapa final'!#REF!="Leve"),CONCATENATE("R8C",'Mapa final'!#REF!),"")</f>
        <v>#REF!</v>
      </c>
      <c r="P33" s="64" t="str">
        <f>IF(AND('Mapa final'!$Y$31="Media",'Mapa final'!$AA$31="Menor"),CONCATENATE("R8C",'Mapa final'!$O$31),"")</f>
        <v/>
      </c>
      <c r="Q33" s="65" t="e">
        <f>IF(AND('Mapa final'!#REF!="Media",'Mapa final'!#REF!="Menor"),CONCATENATE("R8C",'Mapa final'!#REF!),"")</f>
        <v>#REF!</v>
      </c>
      <c r="R33" s="65" t="e">
        <f>IF(AND('Mapa final'!#REF!="Media",'Mapa final'!#REF!="Menor"),CONCATENATE("R8C",'Mapa final'!#REF!),"")</f>
        <v>#REF!</v>
      </c>
      <c r="S33" s="65" t="e">
        <f>IF(AND('Mapa final'!#REF!="Media",'Mapa final'!#REF!="Menor"),CONCATENATE("R8C",'Mapa final'!#REF!),"")</f>
        <v>#REF!</v>
      </c>
      <c r="T33" s="65" t="e">
        <f>IF(AND('Mapa final'!#REF!="Media",'Mapa final'!#REF!="Menor"),CONCATENATE("R8C",'Mapa final'!#REF!),"")</f>
        <v>#REF!</v>
      </c>
      <c r="U33" s="66" t="e">
        <f>IF(AND('Mapa final'!#REF!="Media",'Mapa final'!#REF!="Menor"),CONCATENATE("R8C",'Mapa final'!#REF!),"")</f>
        <v>#REF!</v>
      </c>
      <c r="V33" s="64" t="str">
        <f>IF(AND('Mapa final'!$Y$31="Media",'Mapa final'!$AA$31="Moderado"),CONCATENATE("R8C",'Mapa final'!$O$31),"")</f>
        <v/>
      </c>
      <c r="W33" s="65" t="e">
        <f>IF(AND('Mapa final'!#REF!="Media",'Mapa final'!#REF!="Moderado"),CONCATENATE("R8C",'Mapa final'!#REF!),"")</f>
        <v>#REF!</v>
      </c>
      <c r="X33" s="65" t="e">
        <f>IF(AND('Mapa final'!#REF!="Media",'Mapa final'!#REF!="Moderado"),CONCATENATE("R8C",'Mapa final'!#REF!),"")</f>
        <v>#REF!</v>
      </c>
      <c r="Y33" s="65" t="e">
        <f>IF(AND('Mapa final'!#REF!="Media",'Mapa final'!#REF!="Moderado"),CONCATENATE("R8C",'Mapa final'!#REF!),"")</f>
        <v>#REF!</v>
      </c>
      <c r="Z33" s="65" t="e">
        <f>IF(AND('Mapa final'!#REF!="Media",'Mapa final'!#REF!="Moderado"),CONCATENATE("R8C",'Mapa final'!#REF!),"")</f>
        <v>#REF!</v>
      </c>
      <c r="AA33" s="66" t="e">
        <f>IF(AND('Mapa final'!#REF!="Media",'Mapa final'!#REF!="Moderado"),CONCATENATE("R8C",'Mapa final'!#REF!),"")</f>
        <v>#REF!</v>
      </c>
      <c r="AB33" s="49" t="str">
        <f>IF(AND('Mapa final'!$Y$31="Media",'Mapa final'!$AA$31="Mayor"),CONCATENATE("R8C",'Mapa final'!$O$31),"")</f>
        <v/>
      </c>
      <c r="AC33" s="50" t="e">
        <f>IF(AND('Mapa final'!#REF!="Media",'Mapa final'!#REF!="Mayor"),CONCATENATE("R8C",'Mapa final'!#REF!),"")</f>
        <v>#REF!</v>
      </c>
      <c r="AD33" s="50" t="e">
        <f>IF(AND('Mapa final'!#REF!="Media",'Mapa final'!#REF!="Mayor"),CONCATENATE("R8C",'Mapa final'!#REF!),"")</f>
        <v>#REF!</v>
      </c>
      <c r="AE33" s="50" t="e">
        <f>IF(AND('Mapa final'!#REF!="Media",'Mapa final'!#REF!="Mayor"),CONCATENATE("R8C",'Mapa final'!#REF!),"")</f>
        <v>#REF!</v>
      </c>
      <c r="AF33" s="50" t="e">
        <f>IF(AND('Mapa final'!#REF!="Media",'Mapa final'!#REF!="Mayor"),CONCATENATE("R8C",'Mapa final'!#REF!),"")</f>
        <v>#REF!</v>
      </c>
      <c r="AG33" s="51" t="e">
        <f>IF(AND('Mapa final'!#REF!="Media",'Mapa final'!#REF!="Mayor"),CONCATENATE("R8C",'Mapa final'!#REF!),"")</f>
        <v>#REF!</v>
      </c>
      <c r="AH33" s="52" t="str">
        <f>IF(AND('Mapa final'!$Y$31="Media",'Mapa final'!$AA$31="Catastrófico"),CONCATENATE("R8C",'Mapa final'!$O$31),"")</f>
        <v/>
      </c>
      <c r="AI33" s="53" t="e">
        <f>IF(AND('Mapa final'!#REF!="Media",'Mapa final'!#REF!="Catastrófico"),CONCATENATE("R8C",'Mapa final'!#REF!),"")</f>
        <v>#REF!</v>
      </c>
      <c r="AJ33" s="53" t="e">
        <f>IF(AND('Mapa final'!#REF!="Media",'Mapa final'!#REF!="Catastrófico"),CONCATENATE("R8C",'Mapa final'!#REF!),"")</f>
        <v>#REF!</v>
      </c>
      <c r="AK33" s="53" t="e">
        <f>IF(AND('Mapa final'!#REF!="Media",'Mapa final'!#REF!="Catastrófico"),CONCATENATE("R8C",'Mapa final'!#REF!),"")</f>
        <v>#REF!</v>
      </c>
      <c r="AL33" s="53" t="e">
        <f>IF(AND('Mapa final'!#REF!="Media",'Mapa final'!#REF!="Catastrófico"),CONCATENATE("R8C",'Mapa final'!#REF!),"")</f>
        <v>#REF!</v>
      </c>
      <c r="AM33" s="54" t="e">
        <f>IF(AND('Mapa final'!#REF!="Media",'Mapa final'!#REF!="Catastrófico"),CONCATENATE("R8C",'Mapa final'!#REF!),"")</f>
        <v>#REF!</v>
      </c>
      <c r="AN33" s="80"/>
      <c r="AO33" s="321"/>
      <c r="AP33" s="322"/>
      <c r="AQ33" s="322"/>
      <c r="AR33" s="322"/>
      <c r="AS33" s="322"/>
      <c r="AT33" s="32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307"/>
      <c r="C34" s="307"/>
      <c r="D34" s="308"/>
      <c r="E34" s="278"/>
      <c r="F34" s="279"/>
      <c r="G34" s="279"/>
      <c r="H34" s="279"/>
      <c r="I34" s="280"/>
      <c r="J34" s="64" t="str">
        <f>IF(AND('Mapa final'!$Y$32="Media",'Mapa final'!$AA$32="Leve"),CONCATENATE("R9C",'Mapa final'!$O$32),"")</f>
        <v/>
      </c>
      <c r="K34" s="65" t="e">
        <f>IF(AND('Mapa final'!#REF!="Media",'Mapa final'!#REF!="Leve"),CONCATENATE("R9C",'Mapa final'!#REF!),"")</f>
        <v>#REF!</v>
      </c>
      <c r="L34" s="65" t="e">
        <f>IF(AND('Mapa final'!#REF!="Media",'Mapa final'!#REF!="Leve"),CONCATENATE("R9C",'Mapa final'!#REF!),"")</f>
        <v>#REF!</v>
      </c>
      <c r="M34" s="65" t="e">
        <f>IF(AND('Mapa final'!#REF!="Media",'Mapa final'!#REF!="Leve"),CONCATENATE("R9C",'Mapa final'!#REF!),"")</f>
        <v>#REF!</v>
      </c>
      <c r="N34" s="65" t="e">
        <f>IF(AND('Mapa final'!#REF!="Media",'Mapa final'!#REF!="Leve"),CONCATENATE("R9C",'Mapa final'!#REF!),"")</f>
        <v>#REF!</v>
      </c>
      <c r="O34" s="66" t="e">
        <f>IF(AND('Mapa final'!#REF!="Media",'Mapa final'!#REF!="Leve"),CONCATENATE("R9C",'Mapa final'!#REF!),"")</f>
        <v>#REF!</v>
      </c>
      <c r="P34" s="64" t="str">
        <f>IF(AND('Mapa final'!$Y$32="Media",'Mapa final'!$AA$32="Menor"),CONCATENATE("R9C",'Mapa final'!$O$32),"")</f>
        <v/>
      </c>
      <c r="Q34" s="65" t="e">
        <f>IF(AND('Mapa final'!#REF!="Media",'Mapa final'!#REF!="Menor"),CONCATENATE("R9C",'Mapa final'!#REF!),"")</f>
        <v>#REF!</v>
      </c>
      <c r="R34" s="65" t="e">
        <f>IF(AND('Mapa final'!#REF!="Media",'Mapa final'!#REF!="Menor"),CONCATENATE("R9C",'Mapa final'!#REF!),"")</f>
        <v>#REF!</v>
      </c>
      <c r="S34" s="65" t="e">
        <f>IF(AND('Mapa final'!#REF!="Media",'Mapa final'!#REF!="Menor"),CONCATENATE("R9C",'Mapa final'!#REF!),"")</f>
        <v>#REF!</v>
      </c>
      <c r="T34" s="65" t="e">
        <f>IF(AND('Mapa final'!#REF!="Media",'Mapa final'!#REF!="Menor"),CONCATENATE("R9C",'Mapa final'!#REF!),"")</f>
        <v>#REF!</v>
      </c>
      <c r="U34" s="66" t="e">
        <f>IF(AND('Mapa final'!#REF!="Media",'Mapa final'!#REF!="Menor"),CONCATENATE("R9C",'Mapa final'!#REF!),"")</f>
        <v>#REF!</v>
      </c>
      <c r="V34" s="64" t="str">
        <f>IF(AND('Mapa final'!$Y$32="Media",'Mapa final'!$AA$32="Moderado"),CONCATENATE("R9C",'Mapa final'!$O$32),"")</f>
        <v/>
      </c>
      <c r="W34" s="65" t="e">
        <f>IF(AND('Mapa final'!#REF!="Media",'Mapa final'!#REF!="Moderado"),CONCATENATE("R9C",'Mapa final'!#REF!),"")</f>
        <v>#REF!</v>
      </c>
      <c r="X34" s="65" t="e">
        <f>IF(AND('Mapa final'!#REF!="Media",'Mapa final'!#REF!="Moderado"),CONCATENATE("R9C",'Mapa final'!#REF!),"")</f>
        <v>#REF!</v>
      </c>
      <c r="Y34" s="65" t="e">
        <f>IF(AND('Mapa final'!#REF!="Media",'Mapa final'!#REF!="Moderado"),CONCATENATE("R9C",'Mapa final'!#REF!),"")</f>
        <v>#REF!</v>
      </c>
      <c r="Z34" s="65" t="e">
        <f>IF(AND('Mapa final'!#REF!="Media",'Mapa final'!#REF!="Moderado"),CONCATENATE("R9C",'Mapa final'!#REF!),"")</f>
        <v>#REF!</v>
      </c>
      <c r="AA34" s="66" t="e">
        <f>IF(AND('Mapa final'!#REF!="Media",'Mapa final'!#REF!="Moderado"),CONCATENATE("R9C",'Mapa final'!#REF!),"")</f>
        <v>#REF!</v>
      </c>
      <c r="AB34" s="49" t="str">
        <f>IF(AND('Mapa final'!$Y$32="Media",'Mapa final'!$AA$32="Mayor"),CONCATENATE("R9C",'Mapa final'!$O$32),"")</f>
        <v/>
      </c>
      <c r="AC34" s="50" t="e">
        <f>IF(AND('Mapa final'!#REF!="Media",'Mapa final'!#REF!="Mayor"),CONCATENATE("R9C",'Mapa final'!#REF!),"")</f>
        <v>#REF!</v>
      </c>
      <c r="AD34" s="50" t="e">
        <f>IF(AND('Mapa final'!#REF!="Media",'Mapa final'!#REF!="Mayor"),CONCATENATE("R9C",'Mapa final'!#REF!),"")</f>
        <v>#REF!</v>
      </c>
      <c r="AE34" s="50" t="e">
        <f>IF(AND('Mapa final'!#REF!="Media",'Mapa final'!#REF!="Mayor"),CONCATENATE("R9C",'Mapa final'!#REF!),"")</f>
        <v>#REF!</v>
      </c>
      <c r="AF34" s="50" t="e">
        <f>IF(AND('Mapa final'!#REF!="Media",'Mapa final'!#REF!="Mayor"),CONCATENATE("R9C",'Mapa final'!#REF!),"")</f>
        <v>#REF!</v>
      </c>
      <c r="AG34" s="51" t="e">
        <f>IF(AND('Mapa final'!#REF!="Media",'Mapa final'!#REF!="Mayor"),CONCATENATE("R9C",'Mapa final'!#REF!),"")</f>
        <v>#REF!</v>
      </c>
      <c r="AH34" s="52" t="str">
        <f>IF(AND('Mapa final'!$Y$32="Media",'Mapa final'!$AA$32="Catastrófico"),CONCATENATE("R9C",'Mapa final'!$O$32),"")</f>
        <v/>
      </c>
      <c r="AI34" s="53" t="e">
        <f>IF(AND('Mapa final'!#REF!="Media",'Mapa final'!#REF!="Catastrófico"),CONCATENATE("R9C",'Mapa final'!#REF!),"")</f>
        <v>#REF!</v>
      </c>
      <c r="AJ34" s="53" t="e">
        <f>IF(AND('Mapa final'!#REF!="Media",'Mapa final'!#REF!="Catastrófico"),CONCATENATE("R9C",'Mapa final'!#REF!),"")</f>
        <v>#REF!</v>
      </c>
      <c r="AK34" s="53" t="e">
        <f>IF(AND('Mapa final'!#REF!="Media",'Mapa final'!#REF!="Catastrófico"),CONCATENATE("R9C",'Mapa final'!#REF!),"")</f>
        <v>#REF!</v>
      </c>
      <c r="AL34" s="53" t="e">
        <f>IF(AND('Mapa final'!#REF!="Media",'Mapa final'!#REF!="Catastrófico"),CONCATENATE("R9C",'Mapa final'!#REF!),"")</f>
        <v>#REF!</v>
      </c>
      <c r="AM34" s="54" t="e">
        <f>IF(AND('Mapa final'!#REF!="Media",'Mapa final'!#REF!="Catastrófico"),CONCATENATE("R9C",'Mapa final'!#REF!),"")</f>
        <v>#REF!</v>
      </c>
      <c r="AN34" s="80"/>
      <c r="AO34" s="321"/>
      <c r="AP34" s="322"/>
      <c r="AQ34" s="322"/>
      <c r="AR34" s="322"/>
      <c r="AS34" s="322"/>
      <c r="AT34" s="32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307"/>
      <c r="C35" s="307"/>
      <c r="D35" s="308"/>
      <c r="E35" s="281"/>
      <c r="F35" s="282"/>
      <c r="G35" s="282"/>
      <c r="H35" s="282"/>
      <c r="I35" s="283"/>
      <c r="J35" s="64" t="str">
        <f>IF(AND('Mapa final'!$Y$33="Media",'Mapa final'!$AA$33="Leve"),CONCATENATE("R10C",'Mapa final'!$O$33),"")</f>
        <v/>
      </c>
      <c r="K35" s="65" t="str">
        <f>IF(AND('Mapa final'!$Y$34="Media",'Mapa final'!$AA$34="Leve"),CONCATENATE("R10C",'Mapa final'!$O$34),"")</f>
        <v/>
      </c>
      <c r="L35" s="65" t="str">
        <f>IF(AND('Mapa final'!$Y$35="Media",'Mapa final'!$AA$35="Leve"),CONCATENATE("R10C",'Mapa final'!$O$35),"")</f>
        <v/>
      </c>
      <c r="M35" s="65" t="str">
        <f>IF(AND('Mapa final'!$Y$36="Media",'Mapa final'!$AA$36="Leve"),CONCATENATE("R10C",'Mapa final'!$O$36),"")</f>
        <v/>
      </c>
      <c r="N35" s="65" t="str">
        <f>IF(AND('Mapa final'!$Y$37="Media",'Mapa final'!$AA$37="Leve"),CONCATENATE("R10C",'Mapa final'!$O$37),"")</f>
        <v/>
      </c>
      <c r="O35" s="66" t="str">
        <f>IF(AND('Mapa final'!$Y$38="Media",'Mapa final'!$AA$38="Leve"),CONCATENATE("R10C",'Mapa final'!$O$38),"")</f>
        <v/>
      </c>
      <c r="P35" s="64" t="str">
        <f>IF(AND('Mapa final'!$Y$33="Media",'Mapa final'!$AA$33="Menor"),CONCATENATE("R10C",'Mapa final'!$O$33),"")</f>
        <v/>
      </c>
      <c r="Q35" s="65" t="str">
        <f>IF(AND('Mapa final'!$Y$34="Media",'Mapa final'!$AA$34="Menor"),CONCATENATE("R10C",'Mapa final'!$O$34),"")</f>
        <v/>
      </c>
      <c r="R35" s="65" t="str">
        <f>IF(AND('Mapa final'!$Y$35="Media",'Mapa final'!$AA$35="Menor"),CONCATENATE("R10C",'Mapa final'!$O$35),"")</f>
        <v/>
      </c>
      <c r="S35" s="65" t="str">
        <f>IF(AND('Mapa final'!$Y$36="Media",'Mapa final'!$AA$36="Menor"),CONCATENATE("R10C",'Mapa final'!$O$36),"")</f>
        <v/>
      </c>
      <c r="T35" s="65" t="str">
        <f>IF(AND('Mapa final'!$Y$37="Media",'Mapa final'!$AA$37="Menor"),CONCATENATE("R10C",'Mapa final'!$O$37),"")</f>
        <v/>
      </c>
      <c r="U35" s="66" t="str">
        <f>IF(AND('Mapa final'!$Y$38="Media",'Mapa final'!$AA$38="Menor"),CONCATENATE("R10C",'Mapa final'!$O$38),"")</f>
        <v/>
      </c>
      <c r="V35" s="64" t="str">
        <f>IF(AND('Mapa final'!$Y$33="Media",'Mapa final'!$AA$33="Moderado"),CONCATENATE("R10C",'Mapa final'!$O$33),"")</f>
        <v/>
      </c>
      <c r="W35" s="65" t="str">
        <f>IF(AND('Mapa final'!$Y$34="Media",'Mapa final'!$AA$34="Moderado"),CONCATENATE("R10C",'Mapa final'!$O$34),"")</f>
        <v/>
      </c>
      <c r="X35" s="65" t="str">
        <f>IF(AND('Mapa final'!$Y$35="Media",'Mapa final'!$AA$35="Moderado"),CONCATENATE("R10C",'Mapa final'!$O$35),"")</f>
        <v/>
      </c>
      <c r="Y35" s="65" t="str">
        <f>IF(AND('Mapa final'!$Y$36="Media",'Mapa final'!$AA$36="Moderado"),CONCATENATE("R10C",'Mapa final'!$O$36),"")</f>
        <v/>
      </c>
      <c r="Z35" s="65" t="str">
        <f>IF(AND('Mapa final'!$Y$37="Media",'Mapa final'!$AA$37="Moderado"),CONCATENATE("R10C",'Mapa final'!$O$37),"")</f>
        <v/>
      </c>
      <c r="AA35" s="66" t="str">
        <f>IF(AND('Mapa final'!$Y$38="Media",'Mapa final'!$AA$38="Moderado"),CONCATENATE("R10C",'Mapa final'!$O$38),"")</f>
        <v/>
      </c>
      <c r="AB35" s="55" t="str">
        <f>IF(AND('Mapa final'!$Y$33="Media",'Mapa final'!$AA$33="Mayor"),CONCATENATE("R10C",'Mapa final'!$O$33),"")</f>
        <v/>
      </c>
      <c r="AC35" s="56" t="str">
        <f>IF(AND('Mapa final'!$Y$34="Media",'Mapa final'!$AA$34="Mayor"),CONCATENATE("R10C",'Mapa final'!$O$34),"")</f>
        <v/>
      </c>
      <c r="AD35" s="56" t="str">
        <f>IF(AND('Mapa final'!$Y$35="Media",'Mapa final'!$AA$35="Mayor"),CONCATENATE("R10C",'Mapa final'!$O$35),"")</f>
        <v/>
      </c>
      <c r="AE35" s="56" t="str">
        <f>IF(AND('Mapa final'!$Y$36="Media",'Mapa final'!$AA$36="Mayor"),CONCATENATE("R10C",'Mapa final'!$O$36),"")</f>
        <v/>
      </c>
      <c r="AF35" s="56" t="str">
        <f>IF(AND('Mapa final'!$Y$37="Media",'Mapa final'!$AA$37="Mayor"),CONCATENATE("R10C",'Mapa final'!$O$37),"")</f>
        <v/>
      </c>
      <c r="AG35" s="57" t="str">
        <f>IF(AND('Mapa final'!$Y$38="Media",'Mapa final'!$AA$38="Mayor"),CONCATENATE("R10C",'Mapa final'!$O$38),"")</f>
        <v/>
      </c>
      <c r="AH35" s="58" t="str">
        <f>IF(AND('Mapa final'!$Y$33="Media",'Mapa final'!$AA$33="Catastrófico"),CONCATENATE("R10C",'Mapa final'!$O$33),"")</f>
        <v/>
      </c>
      <c r="AI35" s="59" t="str">
        <f>IF(AND('Mapa final'!$Y$34="Media",'Mapa final'!$AA$34="Catastrófico"),CONCATENATE("R10C",'Mapa final'!$O$34),"")</f>
        <v/>
      </c>
      <c r="AJ35" s="59" t="str">
        <f>IF(AND('Mapa final'!$Y$35="Media",'Mapa final'!$AA$35="Catastrófico"),CONCATENATE("R10C",'Mapa final'!$O$35),"")</f>
        <v/>
      </c>
      <c r="AK35" s="59" t="str">
        <f>IF(AND('Mapa final'!$Y$36="Media",'Mapa final'!$AA$36="Catastrófico"),CONCATENATE("R10C",'Mapa final'!$O$36),"")</f>
        <v/>
      </c>
      <c r="AL35" s="59" t="str">
        <f>IF(AND('Mapa final'!$Y$37="Media",'Mapa final'!$AA$37="Catastrófico"),CONCATENATE("R10C",'Mapa final'!$O$37),"")</f>
        <v/>
      </c>
      <c r="AM35" s="60" t="str">
        <f>IF(AND('Mapa final'!$Y$38="Media",'Mapa final'!$AA$38="Catastrófico"),CONCATENATE("R10C",'Mapa final'!$O$38),"")</f>
        <v/>
      </c>
      <c r="AN35" s="80"/>
      <c r="AO35" s="324"/>
      <c r="AP35" s="325"/>
      <c r="AQ35" s="325"/>
      <c r="AR35" s="325"/>
      <c r="AS35" s="325"/>
      <c r="AT35" s="32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307"/>
      <c r="C36" s="307"/>
      <c r="D36" s="308"/>
      <c r="E36" s="275" t="s">
        <v>114</v>
      </c>
      <c r="F36" s="276"/>
      <c r="G36" s="276"/>
      <c r="H36" s="276"/>
      <c r="I36" s="276"/>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309" t="s">
        <v>82</v>
      </c>
      <c r="AP36" s="310"/>
      <c r="AQ36" s="310"/>
      <c r="AR36" s="310"/>
      <c r="AS36" s="310"/>
      <c r="AT36" s="311"/>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307"/>
      <c r="C37" s="307"/>
      <c r="D37" s="308"/>
      <c r="E37" s="294"/>
      <c r="F37" s="279"/>
      <c r="G37" s="279"/>
      <c r="H37" s="279"/>
      <c r="I37" s="279"/>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e">
        <f>IF(AND('Mapa final'!#REF!="Baja",'Mapa final'!#REF!="Leve"),CONCATENATE("R2C",'Mapa final'!#REF!),"")</f>
        <v>#REF!</v>
      </c>
      <c r="N37" s="74" t="e">
        <f>IF(AND('Mapa final'!#REF!="Baja",'Mapa final'!#REF!="Leve"),CONCATENATE("R2C",'Mapa final'!#REF!),"")</f>
        <v>#REF!</v>
      </c>
      <c r="O37" s="75" t="e">
        <f>IF(AND('Mapa final'!#REF!="Baja",'Mapa final'!#REF!="Leve"),CONCATENATE("R2C",'Mapa final'!#REF!),"")</f>
        <v>#REF!</v>
      </c>
      <c r="P37" s="64" t="str">
        <f>IF(AND('Mapa final'!$Y$16="Baja",'Mapa final'!$AA$16="Menor"),CONCATENATE("R2C",'Mapa final'!$O$16),"")</f>
        <v>R2C1</v>
      </c>
      <c r="Q37" s="65" t="str">
        <f>IF(AND('Mapa final'!$Y$17="Baja",'Mapa final'!$AA$17="Menor"),CONCATENATE("R2C",'Mapa final'!$O$17),"")</f>
        <v>R2C2</v>
      </c>
      <c r="R37" s="65" t="str">
        <f>IF(AND('Mapa final'!$Y$18="Baja",'Mapa final'!$AA$18="Menor"),CONCATENATE("R2C",'Mapa final'!$O$18),"")</f>
        <v/>
      </c>
      <c r="S37" s="65" t="e">
        <f>IF(AND('Mapa final'!#REF!="Baja",'Mapa final'!#REF!="Menor"),CONCATENATE("R2C",'Mapa final'!#REF!),"")</f>
        <v>#REF!</v>
      </c>
      <c r="T37" s="65" t="e">
        <f>IF(AND('Mapa final'!#REF!="Baja",'Mapa final'!#REF!="Menor"),CONCATENATE("R2C",'Mapa final'!#REF!),"")</f>
        <v>#REF!</v>
      </c>
      <c r="U37" s="66" t="e">
        <f>IF(AND('Mapa final'!#REF!="Baja",'Mapa final'!#REF!="Menor"),CONCATENATE("R2C",'Mapa final'!#REF!),"")</f>
        <v>#REF!</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e">
        <f>IF(AND('Mapa final'!#REF!="Baja",'Mapa final'!#REF!="Moderado"),CONCATENATE("R2C",'Mapa final'!#REF!),"")</f>
        <v>#REF!</v>
      </c>
      <c r="Z37" s="65" t="e">
        <f>IF(AND('Mapa final'!#REF!="Baja",'Mapa final'!#REF!="Moderado"),CONCATENATE("R2C",'Mapa final'!#REF!),"")</f>
        <v>#REF!</v>
      </c>
      <c r="AA37" s="66" t="e">
        <f>IF(AND('Mapa final'!#REF!="Baja",'Mapa final'!#REF!="Moderado"),CONCATENATE("R2C",'Mapa final'!#REF!),"")</f>
        <v>#REF!</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e">
        <f>IF(AND('Mapa final'!#REF!="Baja",'Mapa final'!#REF!="Mayor"),CONCATENATE("R2C",'Mapa final'!#REF!),"")</f>
        <v>#REF!</v>
      </c>
      <c r="AF37" s="50" t="e">
        <f>IF(AND('Mapa final'!#REF!="Baja",'Mapa final'!#REF!="Mayor"),CONCATENATE("R2C",'Mapa final'!#REF!),"")</f>
        <v>#REF!</v>
      </c>
      <c r="AG37" s="51" t="e">
        <f>IF(AND('Mapa final'!#REF!="Baja",'Mapa final'!#REF!="Mayor"),CONCATENATE("R2C",'Mapa final'!#REF!),"")</f>
        <v>#REF!</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e">
        <f>IF(AND('Mapa final'!#REF!="Baja",'Mapa final'!#REF!="Catastrófico"),CONCATENATE("R2C",'Mapa final'!#REF!),"")</f>
        <v>#REF!</v>
      </c>
      <c r="AL37" s="53" t="e">
        <f>IF(AND('Mapa final'!#REF!="Baja",'Mapa final'!#REF!="Catastrófico"),CONCATENATE("R2C",'Mapa final'!#REF!),"")</f>
        <v>#REF!</v>
      </c>
      <c r="AM37" s="54" t="e">
        <f>IF(AND('Mapa final'!#REF!="Baja",'Mapa final'!#REF!="Catastrófico"),CONCATENATE("R2C",'Mapa final'!#REF!),"")</f>
        <v>#REF!</v>
      </c>
      <c r="AN37" s="80"/>
      <c r="AO37" s="312"/>
      <c r="AP37" s="313"/>
      <c r="AQ37" s="313"/>
      <c r="AR37" s="313"/>
      <c r="AS37" s="313"/>
      <c r="AT37" s="314"/>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307"/>
      <c r="C38" s="307"/>
      <c r="D38" s="308"/>
      <c r="E38" s="278"/>
      <c r="F38" s="279"/>
      <c r="G38" s="279"/>
      <c r="H38" s="279"/>
      <c r="I38" s="279"/>
      <c r="J38" s="73" t="e">
        <f>IF(AND('Mapa final'!#REF!="Baja",'Mapa final'!#REF!="Leve"),CONCATENATE("R3C",'Mapa final'!#REF!),"")</f>
        <v>#REF!</v>
      </c>
      <c r="K38" s="74" t="e">
        <f>IF(AND('Mapa final'!#REF!="Baja",'Mapa final'!#REF!="Leve"),CONCATENATE("R3C",'Mapa final'!#REF!),"")</f>
        <v>#REF!</v>
      </c>
      <c r="L38" s="74" t="e">
        <f>IF(AND('Mapa final'!#REF!="Baja",'Mapa final'!#REF!="Leve"),CONCATENATE("R3C",'Mapa final'!#REF!),"")</f>
        <v>#REF!</v>
      </c>
      <c r="M38" s="74" t="e">
        <f>IF(AND('Mapa final'!#REF!="Baja",'Mapa final'!#REF!="Leve"),CONCATENATE("R3C",'Mapa final'!#REF!),"")</f>
        <v>#REF!</v>
      </c>
      <c r="N38" s="74" t="e">
        <f>IF(AND('Mapa final'!#REF!="Baja",'Mapa final'!#REF!="Leve"),CONCATENATE("R3C",'Mapa final'!#REF!),"")</f>
        <v>#REF!</v>
      </c>
      <c r="O38" s="75" t="e">
        <f>IF(AND('Mapa final'!#REF!="Baja",'Mapa final'!#REF!="Leve"),CONCATENATE("R3C",'Mapa final'!#REF!),"")</f>
        <v>#REF!</v>
      </c>
      <c r="P38" s="64" t="e">
        <f>IF(AND('Mapa final'!#REF!="Baja",'Mapa final'!#REF!="Menor"),CONCATENATE("R3C",'Mapa final'!#REF!),"")</f>
        <v>#REF!</v>
      </c>
      <c r="Q38" s="65" t="e">
        <f>IF(AND('Mapa final'!#REF!="Baja",'Mapa final'!#REF!="Menor"),CONCATENATE("R3C",'Mapa final'!#REF!),"")</f>
        <v>#REF!</v>
      </c>
      <c r="R38" s="65" t="e">
        <f>IF(AND('Mapa final'!#REF!="Baja",'Mapa final'!#REF!="Menor"),CONCATENATE("R3C",'Mapa final'!#REF!),"")</f>
        <v>#REF!</v>
      </c>
      <c r="S38" s="65" t="e">
        <f>IF(AND('Mapa final'!#REF!="Baja",'Mapa final'!#REF!="Menor"),CONCATENATE("R3C",'Mapa final'!#REF!),"")</f>
        <v>#REF!</v>
      </c>
      <c r="T38" s="65" t="e">
        <f>IF(AND('Mapa final'!#REF!="Baja",'Mapa final'!#REF!="Menor"),CONCATENATE("R3C",'Mapa final'!#REF!),"")</f>
        <v>#REF!</v>
      </c>
      <c r="U38" s="66" t="e">
        <f>IF(AND('Mapa final'!#REF!="Baja",'Mapa final'!#REF!="Menor"),CONCATENATE("R3C",'Mapa final'!#REF!),"")</f>
        <v>#REF!</v>
      </c>
      <c r="V38" s="64" t="e">
        <f>IF(AND('Mapa final'!#REF!="Baja",'Mapa final'!#REF!="Moderado"),CONCATENATE("R3C",'Mapa final'!#REF!),"")</f>
        <v>#REF!</v>
      </c>
      <c r="W38" s="65" t="e">
        <f>IF(AND('Mapa final'!#REF!="Baja",'Mapa final'!#REF!="Moderado"),CONCATENATE("R3C",'Mapa final'!#REF!),"")</f>
        <v>#REF!</v>
      </c>
      <c r="X38" s="65" t="e">
        <f>IF(AND('Mapa final'!#REF!="Baja",'Mapa final'!#REF!="Moderado"),CONCATENATE("R3C",'Mapa final'!#REF!),"")</f>
        <v>#REF!</v>
      </c>
      <c r="Y38" s="65" t="e">
        <f>IF(AND('Mapa final'!#REF!="Baja",'Mapa final'!#REF!="Moderado"),CONCATENATE("R3C",'Mapa final'!#REF!),"")</f>
        <v>#REF!</v>
      </c>
      <c r="Z38" s="65" t="e">
        <f>IF(AND('Mapa final'!#REF!="Baja",'Mapa final'!#REF!="Moderado"),CONCATENATE("R3C",'Mapa final'!#REF!),"")</f>
        <v>#REF!</v>
      </c>
      <c r="AA38" s="66" t="e">
        <f>IF(AND('Mapa final'!#REF!="Baja",'Mapa final'!#REF!="Moderado"),CONCATENATE("R3C",'Mapa final'!#REF!),"")</f>
        <v>#REF!</v>
      </c>
      <c r="AB38" s="49" t="e">
        <f>IF(AND('Mapa final'!#REF!="Baja",'Mapa final'!#REF!="Mayor"),CONCATENATE("R3C",'Mapa final'!#REF!),"")</f>
        <v>#REF!</v>
      </c>
      <c r="AC38" s="50" t="e">
        <f>IF(AND('Mapa final'!#REF!="Baja",'Mapa final'!#REF!="Mayor"),CONCATENATE("R3C",'Mapa final'!#REF!),"")</f>
        <v>#REF!</v>
      </c>
      <c r="AD38" s="50" t="e">
        <f>IF(AND('Mapa final'!#REF!="Baja",'Mapa final'!#REF!="Mayor"),CONCATENATE("R3C",'Mapa final'!#REF!),"")</f>
        <v>#REF!</v>
      </c>
      <c r="AE38" s="50" t="e">
        <f>IF(AND('Mapa final'!#REF!="Baja",'Mapa final'!#REF!="Mayor"),CONCATENATE("R3C",'Mapa final'!#REF!),"")</f>
        <v>#REF!</v>
      </c>
      <c r="AF38" s="50" t="e">
        <f>IF(AND('Mapa final'!#REF!="Baja",'Mapa final'!#REF!="Mayor"),CONCATENATE("R3C",'Mapa final'!#REF!),"")</f>
        <v>#REF!</v>
      </c>
      <c r="AG38" s="51" t="e">
        <f>IF(AND('Mapa final'!#REF!="Baja",'Mapa final'!#REF!="Mayor"),CONCATENATE("R3C",'Mapa final'!#REF!),"")</f>
        <v>#REF!</v>
      </c>
      <c r="AH38" s="52" t="e">
        <f>IF(AND('Mapa final'!#REF!="Baja",'Mapa final'!#REF!="Catastrófico"),CONCATENATE("R3C",'Mapa final'!#REF!),"")</f>
        <v>#REF!</v>
      </c>
      <c r="AI38" s="53" t="e">
        <f>IF(AND('Mapa final'!#REF!="Baja",'Mapa final'!#REF!="Catastrófico"),CONCATENATE("R3C",'Mapa final'!#REF!),"")</f>
        <v>#REF!</v>
      </c>
      <c r="AJ38" s="53" t="e">
        <f>IF(AND('Mapa final'!#REF!="Baja",'Mapa final'!#REF!="Catastrófico"),CONCATENATE("R3C",'Mapa final'!#REF!),"")</f>
        <v>#REF!</v>
      </c>
      <c r="AK38" s="53" t="e">
        <f>IF(AND('Mapa final'!#REF!="Baja",'Mapa final'!#REF!="Catastrófico"),CONCATENATE("R3C",'Mapa final'!#REF!),"")</f>
        <v>#REF!</v>
      </c>
      <c r="AL38" s="53" t="e">
        <f>IF(AND('Mapa final'!#REF!="Baja",'Mapa final'!#REF!="Catastrófico"),CONCATENATE("R3C",'Mapa final'!#REF!),"")</f>
        <v>#REF!</v>
      </c>
      <c r="AM38" s="54" t="e">
        <f>IF(AND('Mapa final'!#REF!="Baja",'Mapa final'!#REF!="Catastrófico"),CONCATENATE("R3C",'Mapa final'!#REF!),"")</f>
        <v>#REF!</v>
      </c>
      <c r="AN38" s="80"/>
      <c r="AO38" s="312"/>
      <c r="AP38" s="313"/>
      <c r="AQ38" s="313"/>
      <c r="AR38" s="313"/>
      <c r="AS38" s="313"/>
      <c r="AT38" s="314"/>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307"/>
      <c r="C39" s="307"/>
      <c r="D39" s="308"/>
      <c r="E39" s="278"/>
      <c r="F39" s="279"/>
      <c r="G39" s="279"/>
      <c r="H39" s="279"/>
      <c r="I39" s="279"/>
      <c r="J39" s="73" t="str">
        <f>IF(AND('Mapa final'!$Y$19="Baja",'Mapa final'!$AA$19="Leve"),CONCATENATE("R4C",'Mapa final'!$O$19),"")</f>
        <v/>
      </c>
      <c r="K39" s="74" t="e">
        <f>IF(AND('Mapa final'!#REF!="Baja",'Mapa final'!#REF!="Leve"),CONCATENATE("R4C",'Mapa final'!#REF!),"")</f>
        <v>#REF!</v>
      </c>
      <c r="L39" s="74" t="e">
        <f>IF(AND('Mapa final'!#REF!="Baja",'Mapa final'!#REF!="Leve"),CONCATENATE("R4C",'Mapa final'!#REF!),"")</f>
        <v>#REF!</v>
      </c>
      <c r="M39" s="74" t="e">
        <f>IF(AND('Mapa final'!#REF!="Baja",'Mapa final'!#REF!="Leve"),CONCATENATE("R4C",'Mapa final'!#REF!),"")</f>
        <v>#REF!</v>
      </c>
      <c r="N39" s="74" t="e">
        <f>IF(AND('Mapa final'!#REF!="Baja",'Mapa final'!#REF!="Leve"),CONCATENATE("R4C",'Mapa final'!#REF!),"")</f>
        <v>#REF!</v>
      </c>
      <c r="O39" s="75" t="e">
        <f>IF(AND('Mapa final'!#REF!="Baja",'Mapa final'!#REF!="Leve"),CONCATENATE("R4C",'Mapa final'!#REF!),"")</f>
        <v>#REF!</v>
      </c>
      <c r="P39" s="64" t="str">
        <f>IF(AND('Mapa final'!$Y$19="Baja",'Mapa final'!$AA$19="Menor"),CONCATENATE("R4C",'Mapa final'!$O$19),"")</f>
        <v/>
      </c>
      <c r="Q39" s="65" t="e">
        <f>IF(AND('Mapa final'!#REF!="Baja",'Mapa final'!#REF!="Menor"),CONCATENATE("R4C",'Mapa final'!#REF!),"")</f>
        <v>#REF!</v>
      </c>
      <c r="R39" s="65" t="e">
        <f>IF(AND('Mapa final'!#REF!="Baja",'Mapa final'!#REF!="Menor"),CONCATENATE("R4C",'Mapa final'!#REF!),"")</f>
        <v>#REF!</v>
      </c>
      <c r="S39" s="65" t="e">
        <f>IF(AND('Mapa final'!#REF!="Baja",'Mapa final'!#REF!="Menor"),CONCATENATE("R4C",'Mapa final'!#REF!),"")</f>
        <v>#REF!</v>
      </c>
      <c r="T39" s="65" t="e">
        <f>IF(AND('Mapa final'!#REF!="Baja",'Mapa final'!#REF!="Menor"),CONCATENATE("R4C",'Mapa final'!#REF!),"")</f>
        <v>#REF!</v>
      </c>
      <c r="U39" s="66" t="e">
        <f>IF(AND('Mapa final'!#REF!="Baja",'Mapa final'!#REF!="Menor"),CONCATENATE("R4C",'Mapa final'!#REF!),"")</f>
        <v>#REF!</v>
      </c>
      <c r="V39" s="64" t="str">
        <f>IF(AND('Mapa final'!$Y$19="Baja",'Mapa final'!$AA$19="Moderado"),CONCATENATE("R4C",'Mapa final'!$O$19),"")</f>
        <v/>
      </c>
      <c r="W39" s="65" t="e">
        <f>IF(AND('Mapa final'!#REF!="Baja",'Mapa final'!#REF!="Moderado"),CONCATENATE("R4C",'Mapa final'!#REF!),"")</f>
        <v>#REF!</v>
      </c>
      <c r="X39" s="65" t="e">
        <f>IF(AND('Mapa final'!#REF!="Baja",'Mapa final'!#REF!="Moderado"),CONCATENATE("R4C",'Mapa final'!#REF!),"")</f>
        <v>#REF!</v>
      </c>
      <c r="Y39" s="65" t="e">
        <f>IF(AND('Mapa final'!#REF!="Baja",'Mapa final'!#REF!="Moderado"),CONCATENATE("R4C",'Mapa final'!#REF!),"")</f>
        <v>#REF!</v>
      </c>
      <c r="Z39" s="65" t="e">
        <f>IF(AND('Mapa final'!#REF!="Baja",'Mapa final'!#REF!="Moderado"),CONCATENATE("R4C",'Mapa final'!#REF!),"")</f>
        <v>#REF!</v>
      </c>
      <c r="AA39" s="66" t="e">
        <f>IF(AND('Mapa final'!#REF!="Baja",'Mapa final'!#REF!="Moderado"),CONCATENATE("R4C",'Mapa final'!#REF!),"")</f>
        <v>#REF!</v>
      </c>
      <c r="AB39" s="49" t="str">
        <f>IF(AND('Mapa final'!$Y$19="Baja",'Mapa final'!$AA$19="Mayor"),CONCATENATE("R4C",'Mapa final'!$O$19),"")</f>
        <v>R4C1</v>
      </c>
      <c r="AC39" s="50" t="e">
        <f>IF(AND('Mapa final'!#REF!="Baja",'Mapa final'!#REF!="Mayor"),CONCATENATE("R4C",'Mapa final'!#REF!),"")</f>
        <v>#REF!</v>
      </c>
      <c r="AD39" s="50" t="e">
        <f>IF(AND('Mapa final'!#REF!="Baja",'Mapa final'!#REF!="Mayor"),CONCATENATE("R4C",'Mapa final'!#REF!),"")</f>
        <v>#REF!</v>
      </c>
      <c r="AE39" s="50" t="e">
        <f>IF(AND('Mapa final'!#REF!="Baja",'Mapa final'!#REF!="Mayor"),CONCATENATE("R4C",'Mapa final'!#REF!),"")</f>
        <v>#REF!</v>
      </c>
      <c r="AF39" s="50" t="e">
        <f>IF(AND('Mapa final'!#REF!="Baja",'Mapa final'!#REF!="Mayor"),CONCATENATE("R4C",'Mapa final'!#REF!),"")</f>
        <v>#REF!</v>
      </c>
      <c r="AG39" s="51" t="e">
        <f>IF(AND('Mapa final'!#REF!="Baja",'Mapa final'!#REF!="Mayor"),CONCATENATE("R4C",'Mapa final'!#REF!),"")</f>
        <v>#REF!</v>
      </c>
      <c r="AH39" s="52" t="str">
        <f>IF(AND('Mapa final'!$Y$19="Baja",'Mapa final'!$AA$19="Catastrófico"),CONCATENATE("R4C",'Mapa final'!$O$19),"")</f>
        <v/>
      </c>
      <c r="AI39" s="53" t="e">
        <f>IF(AND('Mapa final'!#REF!="Baja",'Mapa final'!#REF!="Catastrófico"),CONCATENATE("R4C",'Mapa final'!#REF!),"")</f>
        <v>#REF!</v>
      </c>
      <c r="AJ39" s="53" t="e">
        <f>IF(AND('Mapa final'!#REF!="Baja",'Mapa final'!#REF!="Catastrófico"),CONCATENATE("R4C",'Mapa final'!#REF!),"")</f>
        <v>#REF!</v>
      </c>
      <c r="AK39" s="53" t="e">
        <f>IF(AND('Mapa final'!#REF!="Baja",'Mapa final'!#REF!="Catastrófico"),CONCATENATE("R4C",'Mapa final'!#REF!),"")</f>
        <v>#REF!</v>
      </c>
      <c r="AL39" s="53" t="e">
        <f>IF(AND('Mapa final'!#REF!="Baja",'Mapa final'!#REF!="Catastrófico"),CONCATENATE("R4C",'Mapa final'!#REF!),"")</f>
        <v>#REF!</v>
      </c>
      <c r="AM39" s="54" t="e">
        <f>IF(AND('Mapa final'!#REF!="Baja",'Mapa final'!#REF!="Catastrófico"),CONCATENATE("R4C",'Mapa final'!#REF!),"")</f>
        <v>#REF!</v>
      </c>
      <c r="AN39" s="80"/>
      <c r="AO39" s="312"/>
      <c r="AP39" s="313"/>
      <c r="AQ39" s="313"/>
      <c r="AR39" s="313"/>
      <c r="AS39" s="313"/>
      <c r="AT39" s="314"/>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307"/>
      <c r="C40" s="307"/>
      <c r="D40" s="308"/>
      <c r="E40" s="278"/>
      <c r="F40" s="279"/>
      <c r="G40" s="279"/>
      <c r="H40" s="279"/>
      <c r="I40" s="279"/>
      <c r="J40" s="73" t="str">
        <f>IF(AND('Mapa final'!$Y$20="Baja",'Mapa final'!$AA$20="Leve"),CONCATENATE("R5C",'Mapa final'!$O$20),"")</f>
        <v/>
      </c>
      <c r="K40" s="74" t="str">
        <f>IF(AND('Mapa final'!$Y$21="Baja",'Mapa final'!$AA$21="Leve"),CONCATENATE("R5C",'Mapa final'!$O$21),"")</f>
        <v/>
      </c>
      <c r="L40" s="74" t="str">
        <f>IF(AND('Mapa final'!$Y$22="Baja",'Mapa final'!$AA$22="Leve"),CONCATENATE("R5C",'Mapa final'!$O$22),"")</f>
        <v/>
      </c>
      <c r="M40" s="74" t="str">
        <f>IF(AND('Mapa final'!$Y$23="Baja",'Mapa final'!$AA$23="Leve"),CONCATENATE("R5C",'Mapa final'!$O$23),"")</f>
        <v/>
      </c>
      <c r="N40" s="74" t="str">
        <f>IF(AND('Mapa final'!$Y$24="Baja",'Mapa final'!$AA$24="Leve"),CONCATENATE("R5C",'Mapa final'!$O$24),"")</f>
        <v/>
      </c>
      <c r="O40" s="75" t="str">
        <f>IF(AND('Mapa final'!$Y$25="Baja",'Mapa final'!$AA$25="Leve"),CONCATENATE("R5C",'Mapa final'!$O$25),"")</f>
        <v/>
      </c>
      <c r="P40" s="64" t="str">
        <f>IF(AND('Mapa final'!$Y$20="Baja",'Mapa final'!$AA$20="Menor"),CONCATENATE("R5C",'Mapa final'!$O$20),"")</f>
        <v/>
      </c>
      <c r="Q40" s="65" t="str">
        <f>IF(AND('Mapa final'!$Y$21="Baja",'Mapa final'!$AA$21="Menor"),CONCATENATE("R5C",'Mapa final'!$O$21),"")</f>
        <v/>
      </c>
      <c r="R40" s="65" t="str">
        <f>IF(AND('Mapa final'!$Y$22="Baja",'Mapa final'!$AA$22="Menor"),CONCATENATE("R5C",'Mapa final'!$O$22),"")</f>
        <v/>
      </c>
      <c r="S40" s="65" t="str">
        <f>IF(AND('Mapa final'!$Y$23="Baja",'Mapa final'!$AA$23="Menor"),CONCATENATE("R5C",'Mapa final'!$O$23),"")</f>
        <v/>
      </c>
      <c r="T40" s="65" t="str">
        <f>IF(AND('Mapa final'!$Y$24="Baja",'Mapa final'!$AA$24="Menor"),CONCATENATE("R5C",'Mapa final'!$O$24),"")</f>
        <v/>
      </c>
      <c r="U40" s="66" t="str">
        <f>IF(AND('Mapa final'!$Y$25="Baja",'Mapa final'!$AA$25="Menor"),CONCATENATE("R5C",'Mapa final'!$O$25),"")</f>
        <v/>
      </c>
      <c r="V40" s="64" t="str">
        <f>IF(AND('Mapa final'!$Y$20="Baja",'Mapa final'!$AA$20="Moderado"),CONCATENATE("R5C",'Mapa final'!$O$20),"")</f>
        <v/>
      </c>
      <c r="W40" s="65" t="str">
        <f>IF(AND('Mapa final'!$Y$21="Baja",'Mapa final'!$AA$21="Moderado"),CONCATENATE("R5C",'Mapa final'!$O$21),"")</f>
        <v/>
      </c>
      <c r="X40" s="65" t="str">
        <f>IF(AND('Mapa final'!$Y$22="Baja",'Mapa final'!$AA$22="Moderado"),CONCATENATE("R5C",'Mapa final'!$O$22),"")</f>
        <v/>
      </c>
      <c r="Y40" s="65" t="str">
        <f>IF(AND('Mapa final'!$Y$23="Baja",'Mapa final'!$AA$23="Moderado"),CONCATENATE("R5C",'Mapa final'!$O$23),"")</f>
        <v/>
      </c>
      <c r="Z40" s="65" t="str">
        <f>IF(AND('Mapa final'!$Y$24="Baja",'Mapa final'!$AA$24="Moderado"),CONCATENATE("R5C",'Mapa final'!$O$24),"")</f>
        <v/>
      </c>
      <c r="AA40" s="66" t="str">
        <f>IF(AND('Mapa final'!$Y$25="Baja",'Mapa final'!$AA$25="Moderado"),CONCATENATE("R5C",'Mapa final'!$O$25),"")</f>
        <v/>
      </c>
      <c r="AB40" s="49" t="str">
        <f>IF(AND('Mapa final'!$Y$20="Baja",'Mapa final'!$AA$20="Mayor"),CONCATENATE("R5C",'Mapa final'!$O$20),"")</f>
        <v/>
      </c>
      <c r="AC40" s="50" t="str">
        <f>IF(AND('Mapa final'!$Y$21="Baja",'Mapa final'!$AA$21="Mayor"),CONCATENATE("R5C",'Mapa final'!$O$21),"")</f>
        <v/>
      </c>
      <c r="AD40" s="50" t="str">
        <f>IF(AND('Mapa final'!$Y$22="Baja",'Mapa final'!$AA$22="Mayor"),CONCATENATE("R5C",'Mapa final'!$O$22),"")</f>
        <v/>
      </c>
      <c r="AE40" s="50" t="str">
        <f>IF(AND('Mapa final'!$Y$23="Baja",'Mapa final'!$AA$23="Mayor"),CONCATENATE("R5C",'Mapa final'!$O$23),"")</f>
        <v/>
      </c>
      <c r="AF40" s="50" t="str">
        <f>IF(AND('Mapa final'!$Y$24="Baja",'Mapa final'!$AA$24="Mayor"),CONCATENATE("R5C",'Mapa final'!$O$24),"")</f>
        <v/>
      </c>
      <c r="AG40" s="51" t="str">
        <f>IF(AND('Mapa final'!$Y$25="Baja",'Mapa final'!$AA$25="Mayor"),CONCATENATE("R5C",'Mapa final'!$O$25),"")</f>
        <v/>
      </c>
      <c r="AH40" s="52" t="str">
        <f>IF(AND('Mapa final'!$Y$20="Baja",'Mapa final'!$AA$20="Catastrófico"),CONCATENATE("R5C",'Mapa final'!$O$20),"")</f>
        <v/>
      </c>
      <c r="AI40" s="53" t="str">
        <f>IF(AND('Mapa final'!$Y$21="Baja",'Mapa final'!$AA$21="Catastrófico"),CONCATENATE("R5C",'Mapa final'!$O$21),"")</f>
        <v/>
      </c>
      <c r="AJ40" s="53" t="str">
        <f>IF(AND('Mapa final'!$Y$22="Baja",'Mapa final'!$AA$22="Catastrófico"),CONCATENATE("R5C",'Mapa final'!$O$22),"")</f>
        <v/>
      </c>
      <c r="AK40" s="53" t="str">
        <f>IF(AND('Mapa final'!$Y$23="Baja",'Mapa final'!$AA$23="Catastrófico"),CONCATENATE("R5C",'Mapa final'!$O$23),"")</f>
        <v/>
      </c>
      <c r="AL40" s="53" t="str">
        <f>IF(AND('Mapa final'!$Y$24="Baja",'Mapa final'!$AA$24="Catastrófico"),CONCATENATE("R5C",'Mapa final'!$O$24),"")</f>
        <v/>
      </c>
      <c r="AM40" s="54" t="str">
        <f>IF(AND('Mapa final'!$Y$25="Baja",'Mapa final'!$AA$25="Catastrófico"),CONCATENATE("R5C",'Mapa final'!$O$25),"")</f>
        <v/>
      </c>
      <c r="AN40" s="80"/>
      <c r="AO40" s="312"/>
      <c r="AP40" s="313"/>
      <c r="AQ40" s="313"/>
      <c r="AR40" s="313"/>
      <c r="AS40" s="313"/>
      <c r="AT40" s="314"/>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307"/>
      <c r="C41" s="307"/>
      <c r="D41" s="308"/>
      <c r="E41" s="278"/>
      <c r="F41" s="279"/>
      <c r="G41" s="279"/>
      <c r="H41" s="279"/>
      <c r="I41" s="279"/>
      <c r="J41" s="73" t="str">
        <f>IF(AND('Mapa final'!$Y$26="Baja",'Mapa final'!$AA$26="Leve"),CONCATENATE("R6C",'Mapa final'!$O$26),"")</f>
        <v/>
      </c>
      <c r="K41" s="74" t="e">
        <f>IF(AND('Mapa final'!#REF!="Baja",'Mapa final'!#REF!="Leve"),CONCATENATE("R6C",'Mapa final'!#REF!),"")</f>
        <v>#REF!</v>
      </c>
      <c r="L41" s="74" t="e">
        <f>IF(AND('Mapa final'!#REF!="Baja",'Mapa final'!#REF!="Leve"),CONCATENATE("R6C",'Mapa final'!#REF!),"")</f>
        <v>#REF!</v>
      </c>
      <c r="M41" s="74" t="str">
        <f>IF(AND('Mapa final'!$Y$27="Baja",'Mapa final'!$AA$27="Leve"),CONCATENATE("R6C",'Mapa final'!$O$27),"")</f>
        <v/>
      </c>
      <c r="N41" s="74" t="str">
        <f>IF(AND('Mapa final'!$Y$28="Baja",'Mapa final'!$AA$28="Leve"),CONCATENATE("R6C",'Mapa final'!$O$28),"")</f>
        <v/>
      </c>
      <c r="O41" s="75" t="e">
        <f>IF(AND('Mapa final'!#REF!="Baja",'Mapa final'!#REF!="Leve"),CONCATENATE("R6C",'Mapa final'!#REF!),"")</f>
        <v>#REF!</v>
      </c>
      <c r="P41" s="64" t="str">
        <f>IF(AND('Mapa final'!$Y$26="Baja",'Mapa final'!$AA$26="Menor"),CONCATENATE("R6C",'Mapa final'!$O$26),"")</f>
        <v/>
      </c>
      <c r="Q41" s="65" t="e">
        <f>IF(AND('Mapa final'!#REF!="Baja",'Mapa final'!#REF!="Menor"),CONCATENATE("R6C",'Mapa final'!#REF!),"")</f>
        <v>#REF!</v>
      </c>
      <c r="R41" s="65" t="e">
        <f>IF(AND('Mapa final'!#REF!="Baja",'Mapa final'!#REF!="Menor"),CONCATENATE("R6C",'Mapa final'!#REF!),"")</f>
        <v>#REF!</v>
      </c>
      <c r="S41" s="65" t="str">
        <f>IF(AND('Mapa final'!$Y$27="Baja",'Mapa final'!$AA$27="Menor"),CONCATENATE("R6C",'Mapa final'!$O$27),"")</f>
        <v/>
      </c>
      <c r="T41" s="65" t="str">
        <f>IF(AND('Mapa final'!$Y$28="Baja",'Mapa final'!$AA$28="Menor"),CONCATENATE("R6C",'Mapa final'!$O$28),"")</f>
        <v/>
      </c>
      <c r="U41" s="66" t="e">
        <f>IF(AND('Mapa final'!#REF!="Baja",'Mapa final'!#REF!="Menor"),CONCATENATE("R6C",'Mapa final'!#REF!),"")</f>
        <v>#REF!</v>
      </c>
      <c r="V41" s="64" t="str">
        <f>IF(AND('Mapa final'!$Y$26="Baja",'Mapa final'!$AA$26="Moderado"),CONCATENATE("R6C",'Mapa final'!$O$26),"")</f>
        <v/>
      </c>
      <c r="W41" s="65" t="e">
        <f>IF(AND('Mapa final'!#REF!="Baja",'Mapa final'!#REF!="Moderado"),CONCATENATE("R6C",'Mapa final'!#REF!),"")</f>
        <v>#REF!</v>
      </c>
      <c r="X41" s="65" t="e">
        <f>IF(AND('Mapa final'!#REF!="Baja",'Mapa final'!#REF!="Moderado"),CONCATENATE("R6C",'Mapa final'!#REF!),"")</f>
        <v>#REF!</v>
      </c>
      <c r="Y41" s="65" t="str">
        <f>IF(AND('Mapa final'!$Y$27="Baja",'Mapa final'!$AA$27="Moderado"),CONCATENATE("R6C",'Mapa final'!$O$27),"")</f>
        <v/>
      </c>
      <c r="Z41" s="65" t="str">
        <f>IF(AND('Mapa final'!$Y$28="Baja",'Mapa final'!$AA$28="Moderado"),CONCATENATE("R6C",'Mapa final'!$O$28),"")</f>
        <v/>
      </c>
      <c r="AA41" s="66" t="e">
        <f>IF(AND('Mapa final'!#REF!="Baja",'Mapa final'!#REF!="Moderado"),CONCATENATE("R6C",'Mapa final'!#REF!),"")</f>
        <v>#REF!</v>
      </c>
      <c r="AB41" s="49" t="str">
        <f>IF(AND('Mapa final'!$Y$26="Baja",'Mapa final'!$AA$26="Mayor"),CONCATENATE("R6C",'Mapa final'!$O$26),"")</f>
        <v>R6C1</v>
      </c>
      <c r="AC41" s="50" t="e">
        <f>IF(AND('Mapa final'!#REF!="Baja",'Mapa final'!#REF!="Mayor"),CONCATENATE("R6C",'Mapa final'!#REF!),"")</f>
        <v>#REF!</v>
      </c>
      <c r="AD41" s="50" t="e">
        <f>IF(AND('Mapa final'!#REF!="Baja",'Mapa final'!#REF!="Mayor"),CONCATENATE("R6C",'Mapa final'!#REF!),"")</f>
        <v>#REF!</v>
      </c>
      <c r="AE41" s="50" t="str">
        <f>IF(AND('Mapa final'!$Y$27="Baja",'Mapa final'!$AA$27="Mayor"),CONCATENATE("R6C",'Mapa final'!$O$27),"")</f>
        <v/>
      </c>
      <c r="AF41" s="50" t="str">
        <f>IF(AND('Mapa final'!$Y$28="Baja",'Mapa final'!$AA$28="Mayor"),CONCATENATE("R6C",'Mapa final'!$O$28),"")</f>
        <v/>
      </c>
      <c r="AG41" s="51" t="e">
        <f>IF(AND('Mapa final'!#REF!="Baja",'Mapa final'!#REF!="Mayor"),CONCATENATE("R6C",'Mapa final'!#REF!),"")</f>
        <v>#REF!</v>
      </c>
      <c r="AH41" s="52" t="str">
        <f>IF(AND('Mapa final'!$Y$26="Baja",'Mapa final'!$AA$26="Catastrófico"),CONCATENATE("R6C",'Mapa final'!$O$26),"")</f>
        <v/>
      </c>
      <c r="AI41" s="53" t="e">
        <f>IF(AND('Mapa final'!#REF!="Baja",'Mapa final'!#REF!="Catastrófico"),CONCATENATE("R6C",'Mapa final'!#REF!),"")</f>
        <v>#REF!</v>
      </c>
      <c r="AJ41" s="53" t="e">
        <f>IF(AND('Mapa final'!#REF!="Baja",'Mapa final'!#REF!="Catastrófico"),CONCATENATE("R6C",'Mapa final'!#REF!),"")</f>
        <v>#REF!</v>
      </c>
      <c r="AK41" s="53" t="str">
        <f>IF(AND('Mapa final'!$Y$27="Baja",'Mapa final'!$AA$27="Catastrófico"),CONCATENATE("R6C",'Mapa final'!$O$27),"")</f>
        <v/>
      </c>
      <c r="AL41" s="53" t="str">
        <f>IF(AND('Mapa final'!$Y$28="Baja",'Mapa final'!$AA$28="Catastrófico"),CONCATENATE("R6C",'Mapa final'!$O$28),"")</f>
        <v/>
      </c>
      <c r="AM41" s="54" t="e">
        <f>IF(AND('Mapa final'!#REF!="Baja",'Mapa final'!#REF!="Catastrófico"),CONCATENATE("R6C",'Mapa final'!#REF!),"")</f>
        <v>#REF!</v>
      </c>
      <c r="AN41" s="80"/>
      <c r="AO41" s="312"/>
      <c r="AP41" s="313"/>
      <c r="AQ41" s="313"/>
      <c r="AR41" s="313"/>
      <c r="AS41" s="313"/>
      <c r="AT41" s="314"/>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307"/>
      <c r="C42" s="307"/>
      <c r="D42" s="308"/>
      <c r="E42" s="278"/>
      <c r="F42" s="279"/>
      <c r="G42" s="279"/>
      <c r="H42" s="279"/>
      <c r="I42" s="279"/>
      <c r="J42" s="73" t="str">
        <f>IF(AND('Mapa final'!$Y$29="Baja",'Mapa final'!$AA$29="Leve"),CONCATENATE("R7C",'Mapa final'!$O$29),"")</f>
        <v/>
      </c>
      <c r="K42" s="74" t="e">
        <f>IF(AND('Mapa final'!#REF!="Baja",'Mapa final'!#REF!="Leve"),CONCATENATE("R7C",'Mapa final'!#REF!),"")</f>
        <v>#REF!</v>
      </c>
      <c r="L42" s="74" t="e">
        <f>IF(AND('Mapa final'!#REF!="Baja",'Mapa final'!#REF!="Leve"),CONCATENATE("R7C",'Mapa final'!#REF!),"")</f>
        <v>#REF!</v>
      </c>
      <c r="M42" s="74" t="e">
        <f>IF(AND('Mapa final'!#REF!="Baja",'Mapa final'!#REF!="Leve"),CONCATENATE("R7C",'Mapa final'!#REF!),"")</f>
        <v>#REF!</v>
      </c>
      <c r="N42" s="74" t="e">
        <f>IF(AND('Mapa final'!#REF!="Baja",'Mapa final'!#REF!="Leve"),CONCATENATE("R7C",'Mapa final'!#REF!),"")</f>
        <v>#REF!</v>
      </c>
      <c r="O42" s="75" t="str">
        <f>IF(AND('Mapa final'!$Y$30="Baja",'Mapa final'!$AA$30="Leve"),CONCATENATE("R7C",'Mapa final'!$O$30),"")</f>
        <v/>
      </c>
      <c r="P42" s="64" t="str">
        <f>IF(AND('Mapa final'!$Y$29="Baja",'Mapa final'!$AA$29="Menor"),CONCATENATE("R7C",'Mapa final'!$O$29),"")</f>
        <v>R7C1</v>
      </c>
      <c r="Q42" s="65" t="e">
        <f>IF(AND('Mapa final'!#REF!="Baja",'Mapa final'!#REF!="Menor"),CONCATENATE("R7C",'Mapa final'!#REF!),"")</f>
        <v>#REF!</v>
      </c>
      <c r="R42" s="65" t="e">
        <f>IF(AND('Mapa final'!#REF!="Baja",'Mapa final'!#REF!="Menor"),CONCATENATE("R7C",'Mapa final'!#REF!),"")</f>
        <v>#REF!</v>
      </c>
      <c r="S42" s="65" t="e">
        <f>IF(AND('Mapa final'!#REF!="Baja",'Mapa final'!#REF!="Menor"),CONCATENATE("R7C",'Mapa final'!#REF!),"")</f>
        <v>#REF!</v>
      </c>
      <c r="T42" s="65" t="e">
        <f>IF(AND('Mapa final'!#REF!="Baja",'Mapa final'!#REF!="Menor"),CONCATENATE("R7C",'Mapa final'!#REF!),"")</f>
        <v>#REF!</v>
      </c>
      <c r="U42" s="66" t="str">
        <f>IF(AND('Mapa final'!$Y$30="Baja",'Mapa final'!$AA$30="Menor"),CONCATENATE("R7C",'Mapa final'!$O$30),"")</f>
        <v/>
      </c>
      <c r="V42" s="64" t="str">
        <f>IF(AND('Mapa final'!$Y$29="Baja",'Mapa final'!$AA$29="Moderado"),CONCATENATE("R7C",'Mapa final'!$O$29),"")</f>
        <v/>
      </c>
      <c r="W42" s="65" t="e">
        <f>IF(AND('Mapa final'!#REF!="Baja",'Mapa final'!#REF!="Moderado"),CONCATENATE("R7C",'Mapa final'!#REF!),"")</f>
        <v>#REF!</v>
      </c>
      <c r="X42" s="65" t="e">
        <f>IF(AND('Mapa final'!#REF!="Baja",'Mapa final'!#REF!="Moderado"),CONCATENATE("R7C",'Mapa final'!#REF!),"")</f>
        <v>#REF!</v>
      </c>
      <c r="Y42" s="65" t="e">
        <f>IF(AND('Mapa final'!#REF!="Baja",'Mapa final'!#REF!="Moderado"),CONCATENATE("R7C",'Mapa final'!#REF!),"")</f>
        <v>#REF!</v>
      </c>
      <c r="Z42" s="65" t="e">
        <f>IF(AND('Mapa final'!#REF!="Baja",'Mapa final'!#REF!="Moderado"),CONCATENATE("R7C",'Mapa final'!#REF!),"")</f>
        <v>#REF!</v>
      </c>
      <c r="AA42" s="66" t="str">
        <f>IF(AND('Mapa final'!$Y$30="Baja",'Mapa final'!$AA$30="Moderado"),CONCATENATE("R7C",'Mapa final'!$O$30),"")</f>
        <v/>
      </c>
      <c r="AB42" s="49" t="str">
        <f>IF(AND('Mapa final'!$Y$29="Baja",'Mapa final'!$AA$29="Mayor"),CONCATENATE("R7C",'Mapa final'!$O$29),"")</f>
        <v/>
      </c>
      <c r="AC42" s="50" t="e">
        <f>IF(AND('Mapa final'!#REF!="Baja",'Mapa final'!#REF!="Mayor"),CONCATENATE("R7C",'Mapa final'!#REF!),"")</f>
        <v>#REF!</v>
      </c>
      <c r="AD42" s="50" t="e">
        <f>IF(AND('Mapa final'!#REF!="Baja",'Mapa final'!#REF!="Mayor"),CONCATENATE("R7C",'Mapa final'!#REF!),"")</f>
        <v>#REF!</v>
      </c>
      <c r="AE42" s="50" t="e">
        <f>IF(AND('Mapa final'!#REF!="Baja",'Mapa final'!#REF!="Mayor"),CONCATENATE("R7C",'Mapa final'!#REF!),"")</f>
        <v>#REF!</v>
      </c>
      <c r="AF42" s="50" t="e">
        <f>IF(AND('Mapa final'!#REF!="Baja",'Mapa final'!#REF!="Mayor"),CONCATENATE("R7C",'Mapa final'!#REF!),"")</f>
        <v>#REF!</v>
      </c>
      <c r="AG42" s="51" t="str">
        <f>IF(AND('Mapa final'!$Y$30="Baja",'Mapa final'!$AA$30="Mayor"),CONCATENATE("R7C",'Mapa final'!$O$30),"")</f>
        <v/>
      </c>
      <c r="AH42" s="52" t="str">
        <f>IF(AND('Mapa final'!$Y$29="Baja",'Mapa final'!$AA$29="Catastrófico"),CONCATENATE("R7C",'Mapa final'!$O$29),"")</f>
        <v/>
      </c>
      <c r="AI42" s="53" t="e">
        <f>IF(AND('Mapa final'!#REF!="Baja",'Mapa final'!#REF!="Catastrófico"),CONCATENATE("R7C",'Mapa final'!#REF!),"")</f>
        <v>#REF!</v>
      </c>
      <c r="AJ42" s="53" t="e">
        <f>IF(AND('Mapa final'!#REF!="Baja",'Mapa final'!#REF!="Catastrófico"),CONCATENATE("R7C",'Mapa final'!#REF!),"")</f>
        <v>#REF!</v>
      </c>
      <c r="AK42" s="53" t="e">
        <f>IF(AND('Mapa final'!#REF!="Baja",'Mapa final'!#REF!="Catastrófico"),CONCATENATE("R7C",'Mapa final'!#REF!),"")</f>
        <v>#REF!</v>
      </c>
      <c r="AL42" s="53" t="e">
        <f>IF(AND('Mapa final'!#REF!="Baja",'Mapa final'!#REF!="Catastrófico"),CONCATENATE("R7C",'Mapa final'!#REF!),"")</f>
        <v>#REF!</v>
      </c>
      <c r="AM42" s="54" t="str">
        <f>IF(AND('Mapa final'!$Y$30="Baja",'Mapa final'!$AA$30="Catastrófico"),CONCATENATE("R7C",'Mapa final'!$O$30),"")</f>
        <v/>
      </c>
      <c r="AN42" s="80"/>
      <c r="AO42" s="312"/>
      <c r="AP42" s="313"/>
      <c r="AQ42" s="313"/>
      <c r="AR42" s="313"/>
      <c r="AS42" s="313"/>
      <c r="AT42" s="314"/>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307"/>
      <c r="C43" s="307"/>
      <c r="D43" s="308"/>
      <c r="E43" s="278"/>
      <c r="F43" s="279"/>
      <c r="G43" s="279"/>
      <c r="H43" s="279"/>
      <c r="I43" s="279"/>
      <c r="J43" s="73" t="str">
        <f>IF(AND('Mapa final'!$Y$31="Baja",'Mapa final'!$AA$31="Leve"),CONCATENATE("R8C",'Mapa final'!$O$31),"")</f>
        <v/>
      </c>
      <c r="K43" s="74" t="e">
        <f>IF(AND('Mapa final'!#REF!="Baja",'Mapa final'!#REF!="Leve"),CONCATENATE("R8C",'Mapa final'!#REF!),"")</f>
        <v>#REF!</v>
      </c>
      <c r="L43" s="74" t="e">
        <f>IF(AND('Mapa final'!#REF!="Baja",'Mapa final'!#REF!="Leve"),CONCATENATE("R8C",'Mapa final'!#REF!),"")</f>
        <v>#REF!</v>
      </c>
      <c r="M43" s="74" t="e">
        <f>IF(AND('Mapa final'!#REF!="Baja",'Mapa final'!#REF!="Leve"),CONCATENATE("R8C",'Mapa final'!#REF!),"")</f>
        <v>#REF!</v>
      </c>
      <c r="N43" s="74" t="e">
        <f>IF(AND('Mapa final'!#REF!="Baja",'Mapa final'!#REF!="Leve"),CONCATENATE("R8C",'Mapa final'!#REF!),"")</f>
        <v>#REF!</v>
      </c>
      <c r="O43" s="75" t="e">
        <f>IF(AND('Mapa final'!#REF!="Baja",'Mapa final'!#REF!="Leve"),CONCATENATE("R8C",'Mapa final'!#REF!),"")</f>
        <v>#REF!</v>
      </c>
      <c r="P43" s="64" t="str">
        <f>IF(AND('Mapa final'!$Y$31="Baja",'Mapa final'!$AA$31="Menor"),CONCATENATE("R8C",'Mapa final'!$O$31),"")</f>
        <v/>
      </c>
      <c r="Q43" s="65" t="e">
        <f>IF(AND('Mapa final'!#REF!="Baja",'Mapa final'!#REF!="Menor"),CONCATENATE("R8C",'Mapa final'!#REF!),"")</f>
        <v>#REF!</v>
      </c>
      <c r="R43" s="65" t="e">
        <f>IF(AND('Mapa final'!#REF!="Baja",'Mapa final'!#REF!="Menor"),CONCATENATE("R8C",'Mapa final'!#REF!),"")</f>
        <v>#REF!</v>
      </c>
      <c r="S43" s="65" t="e">
        <f>IF(AND('Mapa final'!#REF!="Baja",'Mapa final'!#REF!="Menor"),CONCATENATE("R8C",'Mapa final'!#REF!),"")</f>
        <v>#REF!</v>
      </c>
      <c r="T43" s="65" t="e">
        <f>IF(AND('Mapa final'!#REF!="Baja",'Mapa final'!#REF!="Menor"),CONCATENATE("R8C",'Mapa final'!#REF!),"")</f>
        <v>#REF!</v>
      </c>
      <c r="U43" s="66" t="e">
        <f>IF(AND('Mapa final'!#REF!="Baja",'Mapa final'!#REF!="Menor"),CONCATENATE("R8C",'Mapa final'!#REF!),"")</f>
        <v>#REF!</v>
      </c>
      <c r="V43" s="64" t="str">
        <f>IF(AND('Mapa final'!$Y$31="Baja",'Mapa final'!$AA$31="Moderado"),CONCATENATE("R8C",'Mapa final'!$O$31),"")</f>
        <v>R8C1</v>
      </c>
      <c r="W43" s="65" t="e">
        <f>IF(AND('Mapa final'!#REF!="Baja",'Mapa final'!#REF!="Moderado"),CONCATENATE("R8C",'Mapa final'!#REF!),"")</f>
        <v>#REF!</v>
      </c>
      <c r="X43" s="65" t="e">
        <f>IF(AND('Mapa final'!#REF!="Baja",'Mapa final'!#REF!="Moderado"),CONCATENATE("R8C",'Mapa final'!#REF!),"")</f>
        <v>#REF!</v>
      </c>
      <c r="Y43" s="65" t="e">
        <f>IF(AND('Mapa final'!#REF!="Baja",'Mapa final'!#REF!="Moderado"),CONCATENATE("R8C",'Mapa final'!#REF!),"")</f>
        <v>#REF!</v>
      </c>
      <c r="Z43" s="65" t="e">
        <f>IF(AND('Mapa final'!#REF!="Baja",'Mapa final'!#REF!="Moderado"),CONCATENATE("R8C",'Mapa final'!#REF!),"")</f>
        <v>#REF!</v>
      </c>
      <c r="AA43" s="66" t="e">
        <f>IF(AND('Mapa final'!#REF!="Baja",'Mapa final'!#REF!="Moderado"),CONCATENATE("R8C",'Mapa final'!#REF!),"")</f>
        <v>#REF!</v>
      </c>
      <c r="AB43" s="49" t="str">
        <f>IF(AND('Mapa final'!$Y$31="Baja",'Mapa final'!$AA$31="Mayor"),CONCATENATE("R8C",'Mapa final'!$O$31),"")</f>
        <v/>
      </c>
      <c r="AC43" s="50" t="e">
        <f>IF(AND('Mapa final'!#REF!="Baja",'Mapa final'!#REF!="Mayor"),CONCATENATE("R8C",'Mapa final'!#REF!),"")</f>
        <v>#REF!</v>
      </c>
      <c r="AD43" s="50" t="e">
        <f>IF(AND('Mapa final'!#REF!="Baja",'Mapa final'!#REF!="Mayor"),CONCATENATE("R8C",'Mapa final'!#REF!),"")</f>
        <v>#REF!</v>
      </c>
      <c r="AE43" s="50" t="e">
        <f>IF(AND('Mapa final'!#REF!="Baja",'Mapa final'!#REF!="Mayor"),CONCATENATE("R8C",'Mapa final'!#REF!),"")</f>
        <v>#REF!</v>
      </c>
      <c r="AF43" s="50" t="e">
        <f>IF(AND('Mapa final'!#REF!="Baja",'Mapa final'!#REF!="Mayor"),CONCATENATE("R8C",'Mapa final'!#REF!),"")</f>
        <v>#REF!</v>
      </c>
      <c r="AG43" s="51" t="e">
        <f>IF(AND('Mapa final'!#REF!="Baja",'Mapa final'!#REF!="Mayor"),CONCATENATE("R8C",'Mapa final'!#REF!),"")</f>
        <v>#REF!</v>
      </c>
      <c r="AH43" s="52" t="str">
        <f>IF(AND('Mapa final'!$Y$31="Baja",'Mapa final'!$AA$31="Catastrófico"),CONCATENATE("R8C",'Mapa final'!$O$31),"")</f>
        <v/>
      </c>
      <c r="AI43" s="53" t="e">
        <f>IF(AND('Mapa final'!#REF!="Baja",'Mapa final'!#REF!="Catastrófico"),CONCATENATE("R8C",'Mapa final'!#REF!),"")</f>
        <v>#REF!</v>
      </c>
      <c r="AJ43" s="53" t="e">
        <f>IF(AND('Mapa final'!#REF!="Baja",'Mapa final'!#REF!="Catastrófico"),CONCATENATE("R8C",'Mapa final'!#REF!),"")</f>
        <v>#REF!</v>
      </c>
      <c r="AK43" s="53" t="e">
        <f>IF(AND('Mapa final'!#REF!="Baja",'Mapa final'!#REF!="Catastrófico"),CONCATENATE("R8C",'Mapa final'!#REF!),"")</f>
        <v>#REF!</v>
      </c>
      <c r="AL43" s="53" t="e">
        <f>IF(AND('Mapa final'!#REF!="Baja",'Mapa final'!#REF!="Catastrófico"),CONCATENATE("R8C",'Mapa final'!#REF!),"")</f>
        <v>#REF!</v>
      </c>
      <c r="AM43" s="54" t="e">
        <f>IF(AND('Mapa final'!#REF!="Baja",'Mapa final'!#REF!="Catastrófico"),CONCATENATE("R8C",'Mapa final'!#REF!),"")</f>
        <v>#REF!</v>
      </c>
      <c r="AN43" s="80"/>
      <c r="AO43" s="312"/>
      <c r="AP43" s="313"/>
      <c r="AQ43" s="313"/>
      <c r="AR43" s="313"/>
      <c r="AS43" s="313"/>
      <c r="AT43" s="314"/>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307"/>
      <c r="C44" s="307"/>
      <c r="D44" s="308"/>
      <c r="E44" s="278"/>
      <c r="F44" s="279"/>
      <c r="G44" s="279"/>
      <c r="H44" s="279"/>
      <c r="I44" s="279"/>
      <c r="J44" s="73" t="str">
        <f>IF(AND('Mapa final'!$Y$32="Baja",'Mapa final'!$AA$32="Leve"),CONCATENATE("R9C",'Mapa final'!$O$32),"")</f>
        <v/>
      </c>
      <c r="K44" s="74" t="e">
        <f>IF(AND('Mapa final'!#REF!="Baja",'Mapa final'!#REF!="Leve"),CONCATENATE("R9C",'Mapa final'!#REF!),"")</f>
        <v>#REF!</v>
      </c>
      <c r="L44" s="74" t="e">
        <f>IF(AND('Mapa final'!#REF!="Baja",'Mapa final'!#REF!="Leve"),CONCATENATE("R9C",'Mapa final'!#REF!),"")</f>
        <v>#REF!</v>
      </c>
      <c r="M44" s="74" t="e">
        <f>IF(AND('Mapa final'!#REF!="Baja",'Mapa final'!#REF!="Leve"),CONCATENATE("R9C",'Mapa final'!#REF!),"")</f>
        <v>#REF!</v>
      </c>
      <c r="N44" s="74" t="e">
        <f>IF(AND('Mapa final'!#REF!="Baja",'Mapa final'!#REF!="Leve"),CONCATENATE("R9C",'Mapa final'!#REF!),"")</f>
        <v>#REF!</v>
      </c>
      <c r="O44" s="75" t="e">
        <f>IF(AND('Mapa final'!#REF!="Baja",'Mapa final'!#REF!="Leve"),CONCATENATE("R9C",'Mapa final'!#REF!),"")</f>
        <v>#REF!</v>
      </c>
      <c r="P44" s="64" t="str">
        <f>IF(AND('Mapa final'!$Y$32="Baja",'Mapa final'!$AA$32="Menor"),CONCATENATE("R9C",'Mapa final'!$O$32),"")</f>
        <v/>
      </c>
      <c r="Q44" s="65" t="e">
        <f>IF(AND('Mapa final'!#REF!="Baja",'Mapa final'!#REF!="Menor"),CONCATENATE("R9C",'Mapa final'!#REF!),"")</f>
        <v>#REF!</v>
      </c>
      <c r="R44" s="65" t="e">
        <f>IF(AND('Mapa final'!#REF!="Baja",'Mapa final'!#REF!="Menor"),CONCATENATE("R9C",'Mapa final'!#REF!),"")</f>
        <v>#REF!</v>
      </c>
      <c r="S44" s="65" t="e">
        <f>IF(AND('Mapa final'!#REF!="Baja",'Mapa final'!#REF!="Menor"),CONCATENATE("R9C",'Mapa final'!#REF!),"")</f>
        <v>#REF!</v>
      </c>
      <c r="T44" s="65" t="e">
        <f>IF(AND('Mapa final'!#REF!="Baja",'Mapa final'!#REF!="Menor"),CONCATENATE("R9C",'Mapa final'!#REF!),"")</f>
        <v>#REF!</v>
      </c>
      <c r="U44" s="66" t="e">
        <f>IF(AND('Mapa final'!#REF!="Baja",'Mapa final'!#REF!="Menor"),CONCATENATE("R9C",'Mapa final'!#REF!),"")</f>
        <v>#REF!</v>
      </c>
      <c r="V44" s="64" t="str">
        <f>IF(AND('Mapa final'!$Y$32="Baja",'Mapa final'!$AA$32="Moderado"),CONCATENATE("R9C",'Mapa final'!$O$32),"")</f>
        <v>R9C1</v>
      </c>
      <c r="W44" s="65" t="e">
        <f>IF(AND('Mapa final'!#REF!="Baja",'Mapa final'!#REF!="Moderado"),CONCATENATE("R9C",'Mapa final'!#REF!),"")</f>
        <v>#REF!</v>
      </c>
      <c r="X44" s="65" t="e">
        <f>IF(AND('Mapa final'!#REF!="Baja",'Mapa final'!#REF!="Moderado"),CONCATENATE("R9C",'Mapa final'!#REF!),"")</f>
        <v>#REF!</v>
      </c>
      <c r="Y44" s="65" t="e">
        <f>IF(AND('Mapa final'!#REF!="Baja",'Mapa final'!#REF!="Moderado"),CONCATENATE("R9C",'Mapa final'!#REF!),"")</f>
        <v>#REF!</v>
      </c>
      <c r="Z44" s="65" t="e">
        <f>IF(AND('Mapa final'!#REF!="Baja",'Mapa final'!#REF!="Moderado"),CONCATENATE("R9C",'Mapa final'!#REF!),"")</f>
        <v>#REF!</v>
      </c>
      <c r="AA44" s="66" t="e">
        <f>IF(AND('Mapa final'!#REF!="Baja",'Mapa final'!#REF!="Moderado"),CONCATENATE("R9C",'Mapa final'!#REF!),"")</f>
        <v>#REF!</v>
      </c>
      <c r="AB44" s="49" t="str">
        <f>IF(AND('Mapa final'!$Y$32="Baja",'Mapa final'!$AA$32="Mayor"),CONCATENATE("R9C",'Mapa final'!$O$32),"")</f>
        <v/>
      </c>
      <c r="AC44" s="50" t="e">
        <f>IF(AND('Mapa final'!#REF!="Baja",'Mapa final'!#REF!="Mayor"),CONCATENATE("R9C",'Mapa final'!#REF!),"")</f>
        <v>#REF!</v>
      </c>
      <c r="AD44" s="50" t="e">
        <f>IF(AND('Mapa final'!#REF!="Baja",'Mapa final'!#REF!="Mayor"),CONCATENATE("R9C",'Mapa final'!#REF!),"")</f>
        <v>#REF!</v>
      </c>
      <c r="AE44" s="50" t="e">
        <f>IF(AND('Mapa final'!#REF!="Baja",'Mapa final'!#REF!="Mayor"),CONCATENATE("R9C",'Mapa final'!#REF!),"")</f>
        <v>#REF!</v>
      </c>
      <c r="AF44" s="50" t="e">
        <f>IF(AND('Mapa final'!#REF!="Baja",'Mapa final'!#REF!="Mayor"),CONCATENATE("R9C",'Mapa final'!#REF!),"")</f>
        <v>#REF!</v>
      </c>
      <c r="AG44" s="51" t="e">
        <f>IF(AND('Mapa final'!#REF!="Baja",'Mapa final'!#REF!="Mayor"),CONCATENATE("R9C",'Mapa final'!#REF!),"")</f>
        <v>#REF!</v>
      </c>
      <c r="AH44" s="52" t="str">
        <f>IF(AND('Mapa final'!$Y$32="Baja",'Mapa final'!$AA$32="Catastrófico"),CONCATENATE("R9C",'Mapa final'!$O$32),"")</f>
        <v/>
      </c>
      <c r="AI44" s="53" t="e">
        <f>IF(AND('Mapa final'!#REF!="Baja",'Mapa final'!#REF!="Catastrófico"),CONCATENATE("R9C",'Mapa final'!#REF!),"")</f>
        <v>#REF!</v>
      </c>
      <c r="AJ44" s="53" t="e">
        <f>IF(AND('Mapa final'!#REF!="Baja",'Mapa final'!#REF!="Catastrófico"),CONCATENATE("R9C",'Mapa final'!#REF!),"")</f>
        <v>#REF!</v>
      </c>
      <c r="AK44" s="53" t="e">
        <f>IF(AND('Mapa final'!#REF!="Baja",'Mapa final'!#REF!="Catastrófico"),CONCATENATE("R9C",'Mapa final'!#REF!),"")</f>
        <v>#REF!</v>
      </c>
      <c r="AL44" s="53" t="e">
        <f>IF(AND('Mapa final'!#REF!="Baja",'Mapa final'!#REF!="Catastrófico"),CONCATENATE("R9C",'Mapa final'!#REF!),"")</f>
        <v>#REF!</v>
      </c>
      <c r="AM44" s="54" t="e">
        <f>IF(AND('Mapa final'!#REF!="Baja",'Mapa final'!#REF!="Catastrófico"),CONCATENATE("R9C",'Mapa final'!#REF!),"")</f>
        <v>#REF!</v>
      </c>
      <c r="AN44" s="80"/>
      <c r="AO44" s="312"/>
      <c r="AP44" s="313"/>
      <c r="AQ44" s="313"/>
      <c r="AR44" s="313"/>
      <c r="AS44" s="313"/>
      <c r="AT44" s="314"/>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307"/>
      <c r="C45" s="307"/>
      <c r="D45" s="308"/>
      <c r="E45" s="281"/>
      <c r="F45" s="282"/>
      <c r="G45" s="282"/>
      <c r="H45" s="282"/>
      <c r="I45" s="282"/>
      <c r="J45" s="76" t="str">
        <f>IF(AND('Mapa final'!$Y$33="Baja",'Mapa final'!$AA$33="Leve"),CONCATENATE("R10C",'Mapa final'!$O$33),"")</f>
        <v/>
      </c>
      <c r="K45" s="77" t="str">
        <f>IF(AND('Mapa final'!$Y$34="Baja",'Mapa final'!$AA$34="Leve"),CONCATENATE("R10C",'Mapa final'!$O$34),"")</f>
        <v/>
      </c>
      <c r="L45" s="77" t="str">
        <f>IF(AND('Mapa final'!$Y$35="Baja",'Mapa final'!$AA$35="Leve"),CONCATENATE("R10C",'Mapa final'!$O$35),"")</f>
        <v/>
      </c>
      <c r="M45" s="77" t="str">
        <f>IF(AND('Mapa final'!$Y$36="Baja",'Mapa final'!$AA$36="Leve"),CONCATENATE("R10C",'Mapa final'!$O$36),"")</f>
        <v/>
      </c>
      <c r="N45" s="77" t="str">
        <f>IF(AND('Mapa final'!$Y$37="Baja",'Mapa final'!$AA$37="Leve"),CONCATENATE("R10C",'Mapa final'!$O$37),"")</f>
        <v/>
      </c>
      <c r="O45" s="78" t="str">
        <f>IF(AND('Mapa final'!$Y$38="Baja",'Mapa final'!$AA$38="Leve"),CONCATENATE("R10C",'Mapa final'!$O$38),"")</f>
        <v/>
      </c>
      <c r="P45" s="64" t="str">
        <f>IF(AND('Mapa final'!$Y$33="Baja",'Mapa final'!$AA$33="Menor"),CONCATENATE("R10C",'Mapa final'!$O$33),"")</f>
        <v/>
      </c>
      <c r="Q45" s="65" t="str">
        <f>IF(AND('Mapa final'!$Y$34="Baja",'Mapa final'!$AA$34="Menor"),CONCATENATE("R10C",'Mapa final'!$O$34),"")</f>
        <v/>
      </c>
      <c r="R45" s="65" t="str">
        <f>IF(AND('Mapa final'!$Y$35="Baja",'Mapa final'!$AA$35="Menor"),CONCATENATE("R10C",'Mapa final'!$O$35),"")</f>
        <v/>
      </c>
      <c r="S45" s="65" t="str">
        <f>IF(AND('Mapa final'!$Y$36="Baja",'Mapa final'!$AA$36="Menor"),CONCATENATE("R10C",'Mapa final'!$O$36),"")</f>
        <v/>
      </c>
      <c r="T45" s="65" t="str">
        <f>IF(AND('Mapa final'!$Y$37="Baja",'Mapa final'!$AA$37="Menor"),CONCATENATE("R10C",'Mapa final'!$O$37),"")</f>
        <v/>
      </c>
      <c r="U45" s="66" t="str">
        <f>IF(AND('Mapa final'!$Y$38="Baja",'Mapa final'!$AA$38="Menor"),CONCATENATE("R10C",'Mapa final'!$O$38),"")</f>
        <v/>
      </c>
      <c r="V45" s="67" t="str">
        <f>IF(AND('Mapa final'!$Y$33="Baja",'Mapa final'!$AA$33="Moderado"),CONCATENATE("R10C",'Mapa final'!$O$33),"")</f>
        <v/>
      </c>
      <c r="W45" s="68" t="str">
        <f>IF(AND('Mapa final'!$Y$34="Baja",'Mapa final'!$AA$34="Moderado"),CONCATENATE("R10C",'Mapa final'!$O$34),"")</f>
        <v/>
      </c>
      <c r="X45" s="68" t="str">
        <f>IF(AND('Mapa final'!$Y$35="Baja",'Mapa final'!$AA$35="Moderado"),CONCATENATE("R10C",'Mapa final'!$O$35),"")</f>
        <v/>
      </c>
      <c r="Y45" s="68" t="str">
        <f>IF(AND('Mapa final'!$Y$36="Baja",'Mapa final'!$AA$36="Moderado"),CONCATENATE("R10C",'Mapa final'!$O$36),"")</f>
        <v/>
      </c>
      <c r="Z45" s="68" t="str">
        <f>IF(AND('Mapa final'!$Y$37="Baja",'Mapa final'!$AA$37="Moderado"),CONCATENATE("R10C",'Mapa final'!$O$37),"")</f>
        <v/>
      </c>
      <c r="AA45" s="69" t="str">
        <f>IF(AND('Mapa final'!$Y$38="Baja",'Mapa final'!$AA$38="Moderado"),CONCATENATE("R10C",'Mapa final'!$O$38),"")</f>
        <v/>
      </c>
      <c r="AB45" s="55" t="str">
        <f>IF(AND('Mapa final'!$Y$33="Baja",'Mapa final'!$AA$33="Mayor"),CONCATENATE("R10C",'Mapa final'!$O$33),"")</f>
        <v/>
      </c>
      <c r="AC45" s="56" t="str">
        <f>IF(AND('Mapa final'!$Y$34="Baja",'Mapa final'!$AA$34="Mayor"),CONCATENATE("R10C",'Mapa final'!$O$34),"")</f>
        <v/>
      </c>
      <c r="AD45" s="56" t="str">
        <f>IF(AND('Mapa final'!$Y$35="Baja",'Mapa final'!$AA$35="Mayor"),CONCATENATE("R10C",'Mapa final'!$O$35),"")</f>
        <v/>
      </c>
      <c r="AE45" s="56" t="str">
        <f>IF(AND('Mapa final'!$Y$36="Baja",'Mapa final'!$AA$36="Mayor"),CONCATENATE("R10C",'Mapa final'!$O$36),"")</f>
        <v/>
      </c>
      <c r="AF45" s="56" t="str">
        <f>IF(AND('Mapa final'!$Y$37="Baja",'Mapa final'!$AA$37="Mayor"),CONCATENATE("R10C",'Mapa final'!$O$37),"")</f>
        <v/>
      </c>
      <c r="AG45" s="57" t="str">
        <f>IF(AND('Mapa final'!$Y$38="Baja",'Mapa final'!$AA$38="Mayor"),CONCATENATE("R10C",'Mapa final'!$O$38),"")</f>
        <v/>
      </c>
      <c r="AH45" s="58" t="str">
        <f>IF(AND('Mapa final'!$Y$33="Baja",'Mapa final'!$AA$33="Catastrófico"),CONCATENATE("R10C",'Mapa final'!$O$33),"")</f>
        <v/>
      </c>
      <c r="AI45" s="59" t="str">
        <f>IF(AND('Mapa final'!$Y$34="Baja",'Mapa final'!$AA$34="Catastrófico"),CONCATENATE("R10C",'Mapa final'!$O$34),"")</f>
        <v/>
      </c>
      <c r="AJ45" s="59" t="str">
        <f>IF(AND('Mapa final'!$Y$35="Baja",'Mapa final'!$AA$35="Catastrófico"),CONCATENATE("R10C",'Mapa final'!$O$35),"")</f>
        <v/>
      </c>
      <c r="AK45" s="59" t="str">
        <f>IF(AND('Mapa final'!$Y$36="Baja",'Mapa final'!$AA$36="Catastrófico"),CONCATENATE("R10C",'Mapa final'!$O$36),"")</f>
        <v/>
      </c>
      <c r="AL45" s="59" t="str">
        <f>IF(AND('Mapa final'!$Y$37="Baja",'Mapa final'!$AA$37="Catastrófico"),CONCATENATE("R10C",'Mapa final'!$O$37),"")</f>
        <v/>
      </c>
      <c r="AM45" s="60" t="str">
        <f>IF(AND('Mapa final'!$Y$38="Baja",'Mapa final'!$AA$38="Catastrófico"),CONCATENATE("R10C",'Mapa final'!$O$38),"")</f>
        <v/>
      </c>
      <c r="AN45" s="80"/>
      <c r="AO45" s="315"/>
      <c r="AP45" s="316"/>
      <c r="AQ45" s="316"/>
      <c r="AR45" s="316"/>
      <c r="AS45" s="316"/>
      <c r="AT45" s="317"/>
    </row>
    <row r="46" spans="1:80" ht="46.5" customHeight="1" x14ac:dyDescent="0.35">
      <c r="A46" s="80"/>
      <c r="B46" s="307"/>
      <c r="C46" s="307"/>
      <c r="D46" s="308"/>
      <c r="E46" s="275" t="s">
        <v>113</v>
      </c>
      <c r="F46" s="276"/>
      <c r="G46" s="276"/>
      <c r="H46" s="276"/>
      <c r="I46" s="277"/>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307"/>
      <c r="C47" s="307"/>
      <c r="D47" s="308"/>
      <c r="E47" s="294"/>
      <c r="F47" s="279"/>
      <c r="G47" s="279"/>
      <c r="H47" s="279"/>
      <c r="I47" s="280"/>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e">
        <f>IF(AND('Mapa final'!#REF!="Muy Baja",'Mapa final'!#REF!="Leve"),CONCATENATE("R2C",'Mapa final'!#REF!),"")</f>
        <v>#REF!</v>
      </c>
      <c r="N47" s="74" t="e">
        <f>IF(AND('Mapa final'!#REF!="Muy Baja",'Mapa final'!#REF!="Leve"),CONCATENATE("R2C",'Mapa final'!#REF!),"")</f>
        <v>#REF!</v>
      </c>
      <c r="O47" s="75" t="e">
        <f>IF(AND('Mapa final'!#REF!="Muy Baja",'Mapa final'!#REF!="Leve"),CONCATENATE("R2C",'Mapa final'!#REF!),"")</f>
        <v>#REF!</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R2C3</v>
      </c>
      <c r="S47" s="74" t="e">
        <f>IF(AND('Mapa final'!#REF!="Muy Baja",'Mapa final'!#REF!="Menor"),CONCATENATE("R2C",'Mapa final'!#REF!),"")</f>
        <v>#REF!</v>
      </c>
      <c r="T47" s="74" t="e">
        <f>IF(AND('Mapa final'!#REF!="Muy Baja",'Mapa final'!#REF!="Menor"),CONCATENATE("R2C",'Mapa final'!#REF!),"")</f>
        <v>#REF!</v>
      </c>
      <c r="U47" s="75" t="e">
        <f>IF(AND('Mapa final'!#REF!="Muy Baja",'Mapa final'!#REF!="Menor"),CONCATENATE("R2C",'Mapa final'!#REF!),"")</f>
        <v>#REF!</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e">
        <f>IF(AND('Mapa final'!#REF!="Muy Baja",'Mapa final'!#REF!="Moderado"),CONCATENATE("R2C",'Mapa final'!#REF!),"")</f>
        <v>#REF!</v>
      </c>
      <c r="Z47" s="65" t="e">
        <f>IF(AND('Mapa final'!#REF!="Muy Baja",'Mapa final'!#REF!="Moderado"),CONCATENATE("R2C",'Mapa final'!#REF!),"")</f>
        <v>#REF!</v>
      </c>
      <c r="AA47" s="66" t="e">
        <f>IF(AND('Mapa final'!#REF!="Muy Baja",'Mapa final'!#REF!="Moderado"),CONCATENATE("R2C",'Mapa final'!#REF!),"")</f>
        <v>#REF!</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e">
        <f>IF(AND('Mapa final'!#REF!="Muy Baja",'Mapa final'!#REF!="Mayor"),CONCATENATE("R2C",'Mapa final'!#REF!),"")</f>
        <v>#REF!</v>
      </c>
      <c r="AF47" s="50" t="e">
        <f>IF(AND('Mapa final'!#REF!="Muy Baja",'Mapa final'!#REF!="Mayor"),CONCATENATE("R2C",'Mapa final'!#REF!),"")</f>
        <v>#REF!</v>
      </c>
      <c r="AG47" s="51" t="e">
        <f>IF(AND('Mapa final'!#REF!="Muy Baja",'Mapa final'!#REF!="Mayor"),CONCATENATE("R2C",'Mapa final'!#REF!),"")</f>
        <v>#REF!</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e">
        <f>IF(AND('Mapa final'!#REF!="Muy Baja",'Mapa final'!#REF!="Catastrófico"),CONCATENATE("R2C",'Mapa final'!#REF!),"")</f>
        <v>#REF!</v>
      </c>
      <c r="AL47" s="53" t="e">
        <f>IF(AND('Mapa final'!#REF!="Muy Baja",'Mapa final'!#REF!="Catastrófico"),CONCATENATE("R2C",'Mapa final'!#REF!),"")</f>
        <v>#REF!</v>
      </c>
      <c r="AM47" s="54" t="e">
        <f>IF(AND('Mapa final'!#REF!="Muy Baja",'Mapa final'!#REF!="Catastrófico"),CONCATENATE("R2C",'Mapa final'!#REF!),"")</f>
        <v>#REF!</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307"/>
      <c r="C48" s="307"/>
      <c r="D48" s="308"/>
      <c r="E48" s="294"/>
      <c r="F48" s="279"/>
      <c r="G48" s="279"/>
      <c r="H48" s="279"/>
      <c r="I48" s="280"/>
      <c r="J48" s="73" t="e">
        <f>IF(AND('Mapa final'!#REF!="Muy Baja",'Mapa final'!#REF!="Leve"),CONCATENATE("R3C",'Mapa final'!#REF!),"")</f>
        <v>#REF!</v>
      </c>
      <c r="K48" s="74" t="e">
        <f>IF(AND('Mapa final'!#REF!="Muy Baja",'Mapa final'!#REF!="Leve"),CONCATENATE("R3C",'Mapa final'!#REF!),"")</f>
        <v>#REF!</v>
      </c>
      <c r="L48" s="74" t="e">
        <f>IF(AND('Mapa final'!#REF!="Muy Baja",'Mapa final'!#REF!="Leve"),CONCATENATE("R3C",'Mapa final'!#REF!),"")</f>
        <v>#REF!</v>
      </c>
      <c r="M48" s="74" t="e">
        <f>IF(AND('Mapa final'!#REF!="Muy Baja",'Mapa final'!#REF!="Leve"),CONCATENATE("R3C",'Mapa final'!#REF!),"")</f>
        <v>#REF!</v>
      </c>
      <c r="N48" s="74" t="e">
        <f>IF(AND('Mapa final'!#REF!="Muy Baja",'Mapa final'!#REF!="Leve"),CONCATENATE("R3C",'Mapa final'!#REF!),"")</f>
        <v>#REF!</v>
      </c>
      <c r="O48" s="75" t="e">
        <f>IF(AND('Mapa final'!#REF!="Muy Baja",'Mapa final'!#REF!="Leve"),CONCATENATE("R3C",'Mapa final'!#REF!),"")</f>
        <v>#REF!</v>
      </c>
      <c r="P48" s="73" t="e">
        <f>IF(AND('Mapa final'!#REF!="Muy Baja",'Mapa final'!#REF!="Menor"),CONCATENATE("R3C",'Mapa final'!#REF!),"")</f>
        <v>#REF!</v>
      </c>
      <c r="Q48" s="74" t="e">
        <f>IF(AND('Mapa final'!#REF!="Muy Baja",'Mapa final'!#REF!="Menor"),CONCATENATE("R3C",'Mapa final'!#REF!),"")</f>
        <v>#REF!</v>
      </c>
      <c r="R48" s="74" t="e">
        <f>IF(AND('Mapa final'!#REF!="Muy Baja",'Mapa final'!#REF!="Menor"),CONCATENATE("R3C",'Mapa final'!#REF!),"")</f>
        <v>#REF!</v>
      </c>
      <c r="S48" s="74" t="e">
        <f>IF(AND('Mapa final'!#REF!="Muy Baja",'Mapa final'!#REF!="Menor"),CONCATENATE("R3C",'Mapa final'!#REF!),"")</f>
        <v>#REF!</v>
      </c>
      <c r="T48" s="74" t="e">
        <f>IF(AND('Mapa final'!#REF!="Muy Baja",'Mapa final'!#REF!="Menor"),CONCATENATE("R3C",'Mapa final'!#REF!),"")</f>
        <v>#REF!</v>
      </c>
      <c r="U48" s="75" t="e">
        <f>IF(AND('Mapa final'!#REF!="Muy Baja",'Mapa final'!#REF!="Menor"),CONCATENATE("R3C",'Mapa final'!#REF!),"")</f>
        <v>#REF!</v>
      </c>
      <c r="V48" s="64" t="e">
        <f>IF(AND('Mapa final'!#REF!="Muy Baja",'Mapa final'!#REF!="Moderado"),CONCATENATE("R3C",'Mapa final'!#REF!),"")</f>
        <v>#REF!</v>
      </c>
      <c r="W48" s="65" t="e">
        <f>IF(AND('Mapa final'!#REF!="Muy Baja",'Mapa final'!#REF!="Moderado"),CONCATENATE("R3C",'Mapa final'!#REF!),"")</f>
        <v>#REF!</v>
      </c>
      <c r="X48" s="65" t="e">
        <f>IF(AND('Mapa final'!#REF!="Muy Baja",'Mapa final'!#REF!="Moderado"),CONCATENATE("R3C",'Mapa final'!#REF!),"")</f>
        <v>#REF!</v>
      </c>
      <c r="Y48" s="65" t="e">
        <f>IF(AND('Mapa final'!#REF!="Muy Baja",'Mapa final'!#REF!="Moderado"),CONCATENATE("R3C",'Mapa final'!#REF!),"")</f>
        <v>#REF!</v>
      </c>
      <c r="Z48" s="65" t="e">
        <f>IF(AND('Mapa final'!#REF!="Muy Baja",'Mapa final'!#REF!="Moderado"),CONCATENATE("R3C",'Mapa final'!#REF!),"")</f>
        <v>#REF!</v>
      </c>
      <c r="AA48" s="66" t="e">
        <f>IF(AND('Mapa final'!#REF!="Muy Baja",'Mapa final'!#REF!="Moderado"),CONCATENATE("R3C",'Mapa final'!#REF!),"")</f>
        <v>#REF!</v>
      </c>
      <c r="AB48" s="49" t="e">
        <f>IF(AND('Mapa final'!#REF!="Muy Baja",'Mapa final'!#REF!="Mayor"),CONCATENATE("R3C",'Mapa final'!#REF!),"")</f>
        <v>#REF!</v>
      </c>
      <c r="AC48" s="50" t="e">
        <f>IF(AND('Mapa final'!#REF!="Muy Baja",'Mapa final'!#REF!="Mayor"),CONCATENATE("R3C",'Mapa final'!#REF!),"")</f>
        <v>#REF!</v>
      </c>
      <c r="AD48" s="50" t="e">
        <f>IF(AND('Mapa final'!#REF!="Muy Baja",'Mapa final'!#REF!="Mayor"),CONCATENATE("R3C",'Mapa final'!#REF!),"")</f>
        <v>#REF!</v>
      </c>
      <c r="AE48" s="50" t="e">
        <f>IF(AND('Mapa final'!#REF!="Muy Baja",'Mapa final'!#REF!="Mayor"),CONCATENATE("R3C",'Mapa final'!#REF!),"")</f>
        <v>#REF!</v>
      </c>
      <c r="AF48" s="50" t="e">
        <f>IF(AND('Mapa final'!#REF!="Muy Baja",'Mapa final'!#REF!="Mayor"),CONCATENATE("R3C",'Mapa final'!#REF!),"")</f>
        <v>#REF!</v>
      </c>
      <c r="AG48" s="51" t="e">
        <f>IF(AND('Mapa final'!#REF!="Muy Baja",'Mapa final'!#REF!="Mayor"),CONCATENATE("R3C",'Mapa final'!#REF!),"")</f>
        <v>#REF!</v>
      </c>
      <c r="AH48" s="52" t="e">
        <f>IF(AND('Mapa final'!#REF!="Muy Baja",'Mapa final'!#REF!="Catastrófico"),CONCATENATE("R3C",'Mapa final'!#REF!),"")</f>
        <v>#REF!</v>
      </c>
      <c r="AI48" s="53" t="e">
        <f>IF(AND('Mapa final'!#REF!="Muy Baja",'Mapa final'!#REF!="Catastrófico"),CONCATENATE("R3C",'Mapa final'!#REF!),"")</f>
        <v>#REF!</v>
      </c>
      <c r="AJ48" s="53" t="e">
        <f>IF(AND('Mapa final'!#REF!="Muy Baja",'Mapa final'!#REF!="Catastrófico"),CONCATENATE("R3C",'Mapa final'!#REF!),"")</f>
        <v>#REF!</v>
      </c>
      <c r="AK48" s="53" t="e">
        <f>IF(AND('Mapa final'!#REF!="Muy Baja",'Mapa final'!#REF!="Catastrófico"),CONCATENATE("R3C",'Mapa final'!#REF!),"")</f>
        <v>#REF!</v>
      </c>
      <c r="AL48" s="53" t="e">
        <f>IF(AND('Mapa final'!#REF!="Muy Baja",'Mapa final'!#REF!="Catastrófico"),CONCATENATE("R3C",'Mapa final'!#REF!),"")</f>
        <v>#REF!</v>
      </c>
      <c r="AM48" s="54" t="e">
        <f>IF(AND('Mapa final'!#REF!="Muy Baja",'Mapa final'!#REF!="Catastrófico"),CONCATENATE("R3C",'Mapa final'!#REF!),"")</f>
        <v>#REF!</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307"/>
      <c r="C49" s="307"/>
      <c r="D49" s="308"/>
      <c r="E49" s="278"/>
      <c r="F49" s="279"/>
      <c r="G49" s="279"/>
      <c r="H49" s="279"/>
      <c r="I49" s="280"/>
      <c r="J49" s="73" t="str">
        <f>IF(AND('Mapa final'!$Y$19="Muy Baja",'Mapa final'!$AA$19="Leve"),CONCATENATE("R4C",'Mapa final'!$O$19),"")</f>
        <v/>
      </c>
      <c r="K49" s="74" t="e">
        <f>IF(AND('Mapa final'!#REF!="Muy Baja",'Mapa final'!#REF!="Leve"),CONCATENATE("R4C",'Mapa final'!#REF!),"")</f>
        <v>#REF!</v>
      </c>
      <c r="L49" s="74" t="e">
        <f>IF(AND('Mapa final'!#REF!="Muy Baja",'Mapa final'!#REF!="Leve"),CONCATENATE("R4C",'Mapa final'!#REF!),"")</f>
        <v>#REF!</v>
      </c>
      <c r="M49" s="74" t="e">
        <f>IF(AND('Mapa final'!#REF!="Muy Baja",'Mapa final'!#REF!="Leve"),CONCATENATE("R4C",'Mapa final'!#REF!),"")</f>
        <v>#REF!</v>
      </c>
      <c r="N49" s="74" t="e">
        <f>IF(AND('Mapa final'!#REF!="Muy Baja",'Mapa final'!#REF!="Leve"),CONCATENATE("R4C",'Mapa final'!#REF!),"")</f>
        <v>#REF!</v>
      </c>
      <c r="O49" s="75" t="e">
        <f>IF(AND('Mapa final'!#REF!="Muy Baja",'Mapa final'!#REF!="Leve"),CONCATENATE("R4C",'Mapa final'!#REF!),"")</f>
        <v>#REF!</v>
      </c>
      <c r="P49" s="73" t="str">
        <f>IF(AND('Mapa final'!$Y$19="Muy Baja",'Mapa final'!$AA$19="Menor"),CONCATENATE("R4C",'Mapa final'!$O$19),"")</f>
        <v/>
      </c>
      <c r="Q49" s="74" t="e">
        <f>IF(AND('Mapa final'!#REF!="Muy Baja",'Mapa final'!#REF!="Menor"),CONCATENATE("R4C",'Mapa final'!#REF!),"")</f>
        <v>#REF!</v>
      </c>
      <c r="R49" s="74" t="e">
        <f>IF(AND('Mapa final'!#REF!="Muy Baja",'Mapa final'!#REF!="Menor"),CONCATENATE("R4C",'Mapa final'!#REF!),"")</f>
        <v>#REF!</v>
      </c>
      <c r="S49" s="74" t="e">
        <f>IF(AND('Mapa final'!#REF!="Muy Baja",'Mapa final'!#REF!="Menor"),CONCATENATE("R4C",'Mapa final'!#REF!),"")</f>
        <v>#REF!</v>
      </c>
      <c r="T49" s="74" t="e">
        <f>IF(AND('Mapa final'!#REF!="Muy Baja",'Mapa final'!#REF!="Menor"),CONCATENATE("R4C",'Mapa final'!#REF!),"")</f>
        <v>#REF!</v>
      </c>
      <c r="U49" s="75" t="e">
        <f>IF(AND('Mapa final'!#REF!="Muy Baja",'Mapa final'!#REF!="Menor"),CONCATENATE("R4C",'Mapa final'!#REF!),"")</f>
        <v>#REF!</v>
      </c>
      <c r="V49" s="64" t="str">
        <f>IF(AND('Mapa final'!$Y$19="Muy Baja",'Mapa final'!$AA$19="Moderado"),CONCATENATE("R4C",'Mapa final'!$O$19),"")</f>
        <v/>
      </c>
      <c r="W49" s="65" t="e">
        <f>IF(AND('Mapa final'!#REF!="Muy Baja",'Mapa final'!#REF!="Moderado"),CONCATENATE("R4C",'Mapa final'!#REF!),"")</f>
        <v>#REF!</v>
      </c>
      <c r="X49" s="65" t="e">
        <f>IF(AND('Mapa final'!#REF!="Muy Baja",'Mapa final'!#REF!="Moderado"),CONCATENATE("R4C",'Mapa final'!#REF!),"")</f>
        <v>#REF!</v>
      </c>
      <c r="Y49" s="65" t="e">
        <f>IF(AND('Mapa final'!#REF!="Muy Baja",'Mapa final'!#REF!="Moderado"),CONCATENATE("R4C",'Mapa final'!#REF!),"")</f>
        <v>#REF!</v>
      </c>
      <c r="Z49" s="65" t="e">
        <f>IF(AND('Mapa final'!#REF!="Muy Baja",'Mapa final'!#REF!="Moderado"),CONCATENATE("R4C",'Mapa final'!#REF!),"")</f>
        <v>#REF!</v>
      </c>
      <c r="AA49" s="66" t="e">
        <f>IF(AND('Mapa final'!#REF!="Muy Baja",'Mapa final'!#REF!="Moderado"),CONCATENATE("R4C",'Mapa final'!#REF!),"")</f>
        <v>#REF!</v>
      </c>
      <c r="AB49" s="49" t="str">
        <f>IF(AND('Mapa final'!$Y$19="Muy Baja",'Mapa final'!$AA$19="Mayor"),CONCATENATE("R4C",'Mapa final'!$O$19),"")</f>
        <v/>
      </c>
      <c r="AC49" s="50" t="e">
        <f>IF(AND('Mapa final'!#REF!="Muy Baja",'Mapa final'!#REF!="Mayor"),CONCATENATE("R4C",'Mapa final'!#REF!),"")</f>
        <v>#REF!</v>
      </c>
      <c r="AD49" s="50" t="e">
        <f>IF(AND('Mapa final'!#REF!="Muy Baja",'Mapa final'!#REF!="Mayor"),CONCATENATE("R4C",'Mapa final'!#REF!),"")</f>
        <v>#REF!</v>
      </c>
      <c r="AE49" s="50" t="e">
        <f>IF(AND('Mapa final'!#REF!="Muy Baja",'Mapa final'!#REF!="Mayor"),CONCATENATE("R4C",'Mapa final'!#REF!),"")</f>
        <v>#REF!</v>
      </c>
      <c r="AF49" s="50" t="e">
        <f>IF(AND('Mapa final'!#REF!="Muy Baja",'Mapa final'!#REF!="Mayor"),CONCATENATE("R4C",'Mapa final'!#REF!),"")</f>
        <v>#REF!</v>
      </c>
      <c r="AG49" s="51" t="e">
        <f>IF(AND('Mapa final'!#REF!="Muy Baja",'Mapa final'!#REF!="Mayor"),CONCATENATE("R4C",'Mapa final'!#REF!),"")</f>
        <v>#REF!</v>
      </c>
      <c r="AH49" s="52" t="str">
        <f>IF(AND('Mapa final'!$Y$19="Muy Baja",'Mapa final'!$AA$19="Catastrófico"),CONCATENATE("R4C",'Mapa final'!$O$19),"")</f>
        <v/>
      </c>
      <c r="AI49" s="53" t="e">
        <f>IF(AND('Mapa final'!#REF!="Muy Baja",'Mapa final'!#REF!="Catastrófico"),CONCATENATE("R4C",'Mapa final'!#REF!),"")</f>
        <v>#REF!</v>
      </c>
      <c r="AJ49" s="53" t="e">
        <f>IF(AND('Mapa final'!#REF!="Muy Baja",'Mapa final'!#REF!="Catastrófico"),CONCATENATE("R4C",'Mapa final'!#REF!),"")</f>
        <v>#REF!</v>
      </c>
      <c r="AK49" s="53" t="e">
        <f>IF(AND('Mapa final'!#REF!="Muy Baja",'Mapa final'!#REF!="Catastrófico"),CONCATENATE("R4C",'Mapa final'!#REF!),"")</f>
        <v>#REF!</v>
      </c>
      <c r="AL49" s="53" t="e">
        <f>IF(AND('Mapa final'!#REF!="Muy Baja",'Mapa final'!#REF!="Catastrófico"),CONCATENATE("R4C",'Mapa final'!#REF!),"")</f>
        <v>#REF!</v>
      </c>
      <c r="AM49" s="54" t="e">
        <f>IF(AND('Mapa final'!#REF!="Muy Baja",'Mapa final'!#REF!="Catastrófico"),CONCATENATE("R4C",'Mapa final'!#REF!),"")</f>
        <v>#REF!</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307"/>
      <c r="C50" s="307"/>
      <c r="D50" s="308"/>
      <c r="E50" s="278"/>
      <c r="F50" s="279"/>
      <c r="G50" s="279"/>
      <c r="H50" s="279"/>
      <c r="I50" s="280"/>
      <c r="J50" s="73" t="str">
        <f>IF(AND('Mapa final'!$Y$20="Muy Baja",'Mapa final'!$AA$20="Leve"),CONCATENATE("R5C",'Mapa final'!$O$20),"")</f>
        <v/>
      </c>
      <c r="K50" s="74" t="str">
        <f>IF(AND('Mapa final'!$Y$21="Muy Baja",'Mapa final'!$AA$21="Leve"),CONCATENATE("R5C",'Mapa final'!$O$21),"")</f>
        <v>R5C2</v>
      </c>
      <c r="L50" s="74" t="str">
        <f>IF(AND('Mapa final'!$Y$22="Muy Baja",'Mapa final'!$AA$22="Leve"),CONCATENATE("R5C",'Mapa final'!$O$22),"")</f>
        <v>R5C3</v>
      </c>
      <c r="M50" s="74" t="str">
        <f>IF(AND('Mapa final'!$Y$23="Muy Baja",'Mapa final'!$AA$23="Leve"),CONCATENATE("R5C",'Mapa final'!$O$23),"")</f>
        <v>R5C4</v>
      </c>
      <c r="N50" s="74" t="str">
        <f>IF(AND('Mapa final'!$Y$24="Muy Baja",'Mapa final'!$AA$24="Leve"),CONCATENATE("R5C",'Mapa final'!$O$24),"")</f>
        <v>R5C5</v>
      </c>
      <c r="O50" s="75" t="str">
        <f>IF(AND('Mapa final'!$Y$25="Muy Baja",'Mapa final'!$AA$25="Leve"),CONCATENATE("R5C",'Mapa final'!$O$25),"")</f>
        <v>R5C6</v>
      </c>
      <c r="P50" s="73" t="str">
        <f>IF(AND('Mapa final'!$Y$20="Muy Baja",'Mapa final'!$AA$20="Menor"),CONCATENATE("R5C",'Mapa final'!$O$20),"")</f>
        <v/>
      </c>
      <c r="Q50" s="74" t="str">
        <f>IF(AND('Mapa final'!$Y$21="Muy Baja",'Mapa final'!$AA$21="Menor"),CONCATENATE("R5C",'Mapa final'!$O$21),"")</f>
        <v/>
      </c>
      <c r="R50" s="74" t="str">
        <f>IF(AND('Mapa final'!$Y$22="Muy Baja",'Mapa final'!$AA$22="Menor"),CONCATENATE("R5C",'Mapa final'!$O$22),"")</f>
        <v/>
      </c>
      <c r="S50" s="74" t="str">
        <f>IF(AND('Mapa final'!$Y$23="Muy Baja",'Mapa final'!$AA$23="Menor"),CONCATENATE("R5C",'Mapa final'!$O$23),"")</f>
        <v/>
      </c>
      <c r="T50" s="74" t="str">
        <f>IF(AND('Mapa final'!$Y$24="Muy Baja",'Mapa final'!$AA$24="Menor"),CONCATENATE("R5C",'Mapa final'!$O$24),"")</f>
        <v/>
      </c>
      <c r="U50" s="75" t="str">
        <f>IF(AND('Mapa final'!$Y$25="Muy Baja",'Mapa final'!$AA$25="Menor"),CONCATENATE("R5C",'Mapa final'!$O$25),"")</f>
        <v/>
      </c>
      <c r="V50" s="64" t="str">
        <f>IF(AND('Mapa final'!$Y$20="Muy Baja",'Mapa final'!$AA$20="Moderado"),CONCATENATE("R5C",'Mapa final'!$O$20),"")</f>
        <v/>
      </c>
      <c r="W50" s="65" t="str">
        <f>IF(AND('Mapa final'!$Y$21="Muy Baja",'Mapa final'!$AA$21="Moderado"),CONCATENATE("R5C",'Mapa final'!$O$21),"")</f>
        <v/>
      </c>
      <c r="X50" s="65" t="str">
        <f>IF(AND('Mapa final'!$Y$22="Muy Baja",'Mapa final'!$AA$22="Moderado"),CONCATENATE("R5C",'Mapa final'!$O$22),"")</f>
        <v/>
      </c>
      <c r="Y50" s="65" t="str">
        <f>IF(AND('Mapa final'!$Y$23="Muy Baja",'Mapa final'!$AA$23="Moderado"),CONCATENATE("R5C",'Mapa final'!$O$23),"")</f>
        <v/>
      </c>
      <c r="Z50" s="65" t="str">
        <f>IF(AND('Mapa final'!$Y$24="Muy Baja",'Mapa final'!$AA$24="Moderado"),CONCATENATE("R5C",'Mapa final'!$O$24),"")</f>
        <v/>
      </c>
      <c r="AA50" s="66" t="str">
        <f>IF(AND('Mapa final'!$Y$25="Muy Baja",'Mapa final'!$AA$25="Moderado"),CONCATENATE("R5C",'Mapa final'!$O$25),"")</f>
        <v/>
      </c>
      <c r="AB50" s="49" t="str">
        <f>IF(AND('Mapa final'!$Y$20="Muy Baja",'Mapa final'!$AA$20="Mayor"),CONCATENATE("R5C",'Mapa final'!$O$20),"")</f>
        <v/>
      </c>
      <c r="AC50" s="50" t="str">
        <f>IF(AND('Mapa final'!$Y$21="Muy Baja",'Mapa final'!$AA$21="Mayor"),CONCATENATE("R5C",'Mapa final'!$O$21),"")</f>
        <v/>
      </c>
      <c r="AD50" s="50" t="str">
        <f>IF(AND('Mapa final'!$Y$22="Muy Baja",'Mapa final'!$AA$22="Mayor"),CONCATENATE("R5C",'Mapa final'!$O$22),"")</f>
        <v/>
      </c>
      <c r="AE50" s="50" t="str">
        <f>IF(AND('Mapa final'!$Y$23="Muy Baja",'Mapa final'!$AA$23="Mayor"),CONCATENATE("R5C",'Mapa final'!$O$23),"")</f>
        <v/>
      </c>
      <c r="AF50" s="50" t="str">
        <f>IF(AND('Mapa final'!$Y$24="Muy Baja",'Mapa final'!$AA$24="Mayor"),CONCATENATE("R5C",'Mapa final'!$O$24),"")</f>
        <v/>
      </c>
      <c r="AG50" s="51" t="str">
        <f>IF(AND('Mapa final'!$Y$25="Muy Baja",'Mapa final'!$AA$25="Mayor"),CONCATENATE("R5C",'Mapa final'!$O$25),"")</f>
        <v/>
      </c>
      <c r="AH50" s="52" t="str">
        <f>IF(AND('Mapa final'!$Y$20="Muy Baja",'Mapa final'!$AA$20="Catastrófico"),CONCATENATE("R5C",'Mapa final'!$O$20),"")</f>
        <v/>
      </c>
      <c r="AI50" s="53" t="str">
        <f>IF(AND('Mapa final'!$Y$21="Muy Baja",'Mapa final'!$AA$21="Catastrófico"),CONCATENATE("R5C",'Mapa final'!$O$21),"")</f>
        <v/>
      </c>
      <c r="AJ50" s="53" t="str">
        <f>IF(AND('Mapa final'!$Y$22="Muy Baja",'Mapa final'!$AA$22="Catastrófico"),CONCATENATE("R5C",'Mapa final'!$O$22),"")</f>
        <v/>
      </c>
      <c r="AK50" s="53" t="str">
        <f>IF(AND('Mapa final'!$Y$23="Muy Baja",'Mapa final'!$AA$23="Catastrófico"),CONCATENATE("R5C",'Mapa final'!$O$23),"")</f>
        <v/>
      </c>
      <c r="AL50" s="53" t="str">
        <f>IF(AND('Mapa final'!$Y$24="Muy Baja",'Mapa final'!$AA$24="Catastrófico"),CONCATENATE("R5C",'Mapa final'!$O$24),"")</f>
        <v/>
      </c>
      <c r="AM50" s="54" t="str">
        <f>IF(AND('Mapa final'!$Y$25="Muy Baja",'Mapa final'!$AA$25="Catastrófico"),CONCATENATE("R5C",'Mapa final'!$O$25),"")</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307"/>
      <c r="C51" s="307"/>
      <c r="D51" s="308"/>
      <c r="E51" s="278"/>
      <c r="F51" s="279"/>
      <c r="G51" s="279"/>
      <c r="H51" s="279"/>
      <c r="I51" s="280"/>
      <c r="J51" s="73" t="str">
        <f>IF(AND('Mapa final'!$Y$26="Muy Baja",'Mapa final'!$AA$26="Leve"),CONCATENATE("R6C",'Mapa final'!$O$26),"")</f>
        <v/>
      </c>
      <c r="K51" s="74" t="e">
        <f>IF(AND('Mapa final'!#REF!="Muy Baja",'Mapa final'!#REF!="Leve"),CONCATENATE("R6C",'Mapa final'!#REF!),"")</f>
        <v>#REF!</v>
      </c>
      <c r="L51" s="74" t="e">
        <f>IF(AND('Mapa final'!#REF!="Muy Baja",'Mapa final'!#REF!="Leve"),CONCATENATE("R6C",'Mapa final'!#REF!),"")</f>
        <v>#REF!</v>
      </c>
      <c r="M51" s="74" t="str">
        <f>IF(AND('Mapa final'!$Y$27="Muy Baja",'Mapa final'!$AA$27="Leve"),CONCATENATE("R6C",'Mapa final'!$O$27),"")</f>
        <v>R6C2</v>
      </c>
      <c r="N51" s="74" t="str">
        <f>IF(AND('Mapa final'!$Y$28="Muy Baja",'Mapa final'!$AA$28="Leve"),CONCATENATE("R6C",'Mapa final'!$O$28),"")</f>
        <v>R6C3</v>
      </c>
      <c r="O51" s="75" t="e">
        <f>IF(AND('Mapa final'!#REF!="Muy Baja",'Mapa final'!#REF!="Leve"),CONCATENATE("R6C",'Mapa final'!#REF!),"")</f>
        <v>#REF!</v>
      </c>
      <c r="P51" s="73" t="str">
        <f>IF(AND('Mapa final'!$Y$26="Muy Baja",'Mapa final'!$AA$26="Menor"),CONCATENATE("R6C",'Mapa final'!$O$26),"")</f>
        <v/>
      </c>
      <c r="Q51" s="74" t="e">
        <f>IF(AND('Mapa final'!#REF!="Muy Baja",'Mapa final'!#REF!="Menor"),CONCATENATE("R6C",'Mapa final'!#REF!),"")</f>
        <v>#REF!</v>
      </c>
      <c r="R51" s="74" t="e">
        <f>IF(AND('Mapa final'!#REF!="Muy Baja",'Mapa final'!#REF!="Menor"),CONCATENATE("R6C",'Mapa final'!#REF!),"")</f>
        <v>#REF!</v>
      </c>
      <c r="S51" s="74" t="str">
        <f>IF(AND('Mapa final'!$Y$27="Muy Baja",'Mapa final'!$AA$27="Menor"),CONCATENATE("R6C",'Mapa final'!$O$27),"")</f>
        <v/>
      </c>
      <c r="T51" s="74" t="str">
        <f>IF(AND('Mapa final'!$Y$28="Muy Baja",'Mapa final'!$AA$28="Menor"),CONCATENATE("R6C",'Mapa final'!$O$28),"")</f>
        <v/>
      </c>
      <c r="U51" s="75" t="e">
        <f>IF(AND('Mapa final'!#REF!="Muy Baja",'Mapa final'!#REF!="Menor"),CONCATENATE("R6C",'Mapa final'!#REF!),"")</f>
        <v>#REF!</v>
      </c>
      <c r="V51" s="64" t="str">
        <f>IF(AND('Mapa final'!$Y$26="Muy Baja",'Mapa final'!$AA$26="Moderado"),CONCATENATE("R6C",'Mapa final'!$O$26),"")</f>
        <v/>
      </c>
      <c r="W51" s="65" t="e">
        <f>IF(AND('Mapa final'!#REF!="Muy Baja",'Mapa final'!#REF!="Moderado"),CONCATENATE("R6C",'Mapa final'!#REF!),"")</f>
        <v>#REF!</v>
      </c>
      <c r="X51" s="65" t="e">
        <f>IF(AND('Mapa final'!#REF!="Muy Baja",'Mapa final'!#REF!="Moderado"),CONCATENATE("R6C",'Mapa final'!#REF!),"")</f>
        <v>#REF!</v>
      </c>
      <c r="Y51" s="65" t="str">
        <f>IF(AND('Mapa final'!$Y$27="Muy Baja",'Mapa final'!$AA$27="Moderado"),CONCATENATE("R6C",'Mapa final'!$O$27),"")</f>
        <v/>
      </c>
      <c r="Z51" s="65" t="str">
        <f>IF(AND('Mapa final'!$Y$28="Muy Baja",'Mapa final'!$AA$28="Moderado"),CONCATENATE("R6C",'Mapa final'!$O$28),"")</f>
        <v/>
      </c>
      <c r="AA51" s="66" t="e">
        <f>IF(AND('Mapa final'!#REF!="Muy Baja",'Mapa final'!#REF!="Moderado"),CONCATENATE("R6C",'Mapa final'!#REF!),"")</f>
        <v>#REF!</v>
      </c>
      <c r="AB51" s="49" t="str">
        <f>IF(AND('Mapa final'!$Y$26="Muy Baja",'Mapa final'!$AA$26="Mayor"),CONCATENATE("R6C",'Mapa final'!$O$26),"")</f>
        <v/>
      </c>
      <c r="AC51" s="50" t="e">
        <f>IF(AND('Mapa final'!#REF!="Muy Baja",'Mapa final'!#REF!="Mayor"),CONCATENATE("R6C",'Mapa final'!#REF!),"")</f>
        <v>#REF!</v>
      </c>
      <c r="AD51" s="50" t="e">
        <f>IF(AND('Mapa final'!#REF!="Muy Baja",'Mapa final'!#REF!="Mayor"),CONCATENATE("R6C",'Mapa final'!#REF!),"")</f>
        <v>#REF!</v>
      </c>
      <c r="AE51" s="50" t="str">
        <f>IF(AND('Mapa final'!$Y$27="Muy Baja",'Mapa final'!$AA$27="Mayor"),CONCATENATE("R6C",'Mapa final'!$O$27),"")</f>
        <v/>
      </c>
      <c r="AF51" s="50" t="str">
        <f>IF(AND('Mapa final'!$Y$28="Muy Baja",'Mapa final'!$AA$28="Mayor"),CONCATENATE("R6C",'Mapa final'!$O$28),"")</f>
        <v/>
      </c>
      <c r="AG51" s="51" t="e">
        <f>IF(AND('Mapa final'!#REF!="Muy Baja",'Mapa final'!#REF!="Mayor"),CONCATENATE("R6C",'Mapa final'!#REF!),"")</f>
        <v>#REF!</v>
      </c>
      <c r="AH51" s="52" t="str">
        <f>IF(AND('Mapa final'!$Y$26="Muy Baja",'Mapa final'!$AA$26="Catastrófico"),CONCATENATE("R6C",'Mapa final'!$O$26),"")</f>
        <v/>
      </c>
      <c r="AI51" s="53" t="e">
        <f>IF(AND('Mapa final'!#REF!="Muy Baja",'Mapa final'!#REF!="Catastrófico"),CONCATENATE("R6C",'Mapa final'!#REF!),"")</f>
        <v>#REF!</v>
      </c>
      <c r="AJ51" s="53" t="e">
        <f>IF(AND('Mapa final'!#REF!="Muy Baja",'Mapa final'!#REF!="Catastrófico"),CONCATENATE("R6C",'Mapa final'!#REF!),"")</f>
        <v>#REF!</v>
      </c>
      <c r="AK51" s="53" t="str">
        <f>IF(AND('Mapa final'!$Y$27="Muy Baja",'Mapa final'!$AA$27="Catastrófico"),CONCATENATE("R6C",'Mapa final'!$O$27),"")</f>
        <v/>
      </c>
      <c r="AL51" s="53" t="str">
        <f>IF(AND('Mapa final'!$Y$28="Muy Baja",'Mapa final'!$AA$28="Catastrófico"),CONCATENATE("R6C",'Mapa final'!$O$28),"")</f>
        <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307"/>
      <c r="C52" s="307"/>
      <c r="D52" s="308"/>
      <c r="E52" s="278"/>
      <c r="F52" s="279"/>
      <c r="G52" s="279"/>
      <c r="H52" s="279"/>
      <c r="I52" s="280"/>
      <c r="J52" s="73" t="str">
        <f>IF(AND('Mapa final'!$Y$29="Muy Baja",'Mapa final'!$AA$29="Leve"),CONCATENATE("R7C",'Mapa final'!$O$29),"")</f>
        <v/>
      </c>
      <c r="K52" s="74" t="e">
        <f>IF(AND('Mapa final'!#REF!="Muy Baja",'Mapa final'!#REF!="Leve"),CONCATENATE("R7C",'Mapa final'!#REF!),"")</f>
        <v>#REF!</v>
      </c>
      <c r="L52" s="74" t="e">
        <f>IF(AND('Mapa final'!#REF!="Muy Baja",'Mapa final'!#REF!="Leve"),CONCATENATE("R7C",'Mapa final'!#REF!),"")</f>
        <v>#REF!</v>
      </c>
      <c r="M52" s="74" t="e">
        <f>IF(AND('Mapa final'!#REF!="Muy Baja",'Mapa final'!#REF!="Leve"),CONCATENATE("R7C",'Mapa final'!#REF!),"")</f>
        <v>#REF!</v>
      </c>
      <c r="N52" s="74" t="e">
        <f>IF(AND('Mapa final'!#REF!="Muy Baja",'Mapa final'!#REF!="Leve"),CONCATENATE("R7C",'Mapa final'!#REF!),"")</f>
        <v>#REF!</v>
      </c>
      <c r="O52" s="75" t="str">
        <f>IF(AND('Mapa final'!$Y$30="Muy Baja",'Mapa final'!$AA$30="Leve"),CONCATENATE("R7C",'Mapa final'!$O$30),"")</f>
        <v/>
      </c>
      <c r="P52" s="73" t="str">
        <f>IF(AND('Mapa final'!$Y$29="Muy Baja",'Mapa final'!$AA$29="Menor"),CONCATENATE("R7C",'Mapa final'!$O$29),"")</f>
        <v/>
      </c>
      <c r="Q52" s="74" t="e">
        <f>IF(AND('Mapa final'!#REF!="Muy Baja",'Mapa final'!#REF!="Menor"),CONCATENATE("R7C",'Mapa final'!#REF!),"")</f>
        <v>#REF!</v>
      </c>
      <c r="R52" s="74" t="e">
        <f>IF(AND('Mapa final'!#REF!="Muy Baja",'Mapa final'!#REF!="Menor"),CONCATENATE("R7C",'Mapa final'!#REF!),"")</f>
        <v>#REF!</v>
      </c>
      <c r="S52" s="74" t="e">
        <f>IF(AND('Mapa final'!#REF!="Muy Baja",'Mapa final'!#REF!="Menor"),CONCATENATE("R7C",'Mapa final'!#REF!),"")</f>
        <v>#REF!</v>
      </c>
      <c r="T52" s="74" t="e">
        <f>IF(AND('Mapa final'!#REF!="Muy Baja",'Mapa final'!#REF!="Menor"),CONCATENATE("R7C",'Mapa final'!#REF!),"")</f>
        <v>#REF!</v>
      </c>
      <c r="U52" s="75" t="str">
        <f>IF(AND('Mapa final'!$Y$30="Muy Baja",'Mapa final'!$AA$30="Menor"),CONCATENATE("R7C",'Mapa final'!$O$30),"")</f>
        <v/>
      </c>
      <c r="V52" s="64" t="str">
        <f>IF(AND('Mapa final'!$Y$29="Muy Baja",'Mapa final'!$AA$29="Moderado"),CONCATENATE("R7C",'Mapa final'!$O$29),"")</f>
        <v/>
      </c>
      <c r="W52" s="65" t="e">
        <f>IF(AND('Mapa final'!#REF!="Muy Baja",'Mapa final'!#REF!="Moderado"),CONCATENATE("R7C",'Mapa final'!#REF!),"")</f>
        <v>#REF!</v>
      </c>
      <c r="X52" s="65" t="e">
        <f>IF(AND('Mapa final'!#REF!="Muy Baja",'Mapa final'!#REF!="Moderado"),CONCATENATE("R7C",'Mapa final'!#REF!),"")</f>
        <v>#REF!</v>
      </c>
      <c r="Y52" s="65" t="e">
        <f>IF(AND('Mapa final'!#REF!="Muy Baja",'Mapa final'!#REF!="Moderado"),CONCATENATE("R7C",'Mapa final'!#REF!),"")</f>
        <v>#REF!</v>
      </c>
      <c r="Z52" s="65" t="e">
        <f>IF(AND('Mapa final'!#REF!="Muy Baja",'Mapa final'!#REF!="Moderado"),CONCATENATE("R7C",'Mapa final'!#REF!),"")</f>
        <v>#REF!</v>
      </c>
      <c r="AA52" s="66" t="str">
        <f>IF(AND('Mapa final'!$Y$30="Muy Baja",'Mapa final'!$AA$30="Moderado"),CONCATENATE("R7C",'Mapa final'!$O$30),"")</f>
        <v/>
      </c>
      <c r="AB52" s="49" t="str">
        <f>IF(AND('Mapa final'!$Y$29="Muy Baja",'Mapa final'!$AA$29="Mayor"),CONCATENATE("R7C",'Mapa final'!$O$29),"")</f>
        <v/>
      </c>
      <c r="AC52" s="50" t="e">
        <f>IF(AND('Mapa final'!#REF!="Muy Baja",'Mapa final'!#REF!="Mayor"),CONCATENATE("R7C",'Mapa final'!#REF!),"")</f>
        <v>#REF!</v>
      </c>
      <c r="AD52" s="50" t="e">
        <f>IF(AND('Mapa final'!#REF!="Muy Baja",'Mapa final'!#REF!="Mayor"),CONCATENATE("R7C",'Mapa final'!#REF!),"")</f>
        <v>#REF!</v>
      </c>
      <c r="AE52" s="50" t="e">
        <f>IF(AND('Mapa final'!#REF!="Muy Baja",'Mapa final'!#REF!="Mayor"),CONCATENATE("R7C",'Mapa final'!#REF!),"")</f>
        <v>#REF!</v>
      </c>
      <c r="AF52" s="50" t="e">
        <f>IF(AND('Mapa final'!#REF!="Muy Baja",'Mapa final'!#REF!="Mayor"),CONCATENATE("R7C",'Mapa final'!#REF!),"")</f>
        <v>#REF!</v>
      </c>
      <c r="AG52" s="51" t="str">
        <f>IF(AND('Mapa final'!$Y$30="Muy Baja",'Mapa final'!$AA$30="Mayor"),CONCATENATE("R7C",'Mapa final'!$O$30),"")</f>
        <v/>
      </c>
      <c r="AH52" s="52" t="str">
        <f>IF(AND('Mapa final'!$Y$29="Muy Baja",'Mapa final'!$AA$29="Catastrófico"),CONCATENATE("R7C",'Mapa final'!$O$29),"")</f>
        <v/>
      </c>
      <c r="AI52" s="53" t="e">
        <f>IF(AND('Mapa final'!#REF!="Muy Baja",'Mapa final'!#REF!="Catastrófico"),CONCATENATE("R7C",'Mapa final'!#REF!),"")</f>
        <v>#REF!</v>
      </c>
      <c r="AJ52" s="53" t="e">
        <f>IF(AND('Mapa final'!#REF!="Muy Baja",'Mapa final'!#REF!="Catastrófico"),CONCATENATE("R7C",'Mapa final'!#REF!),"")</f>
        <v>#REF!</v>
      </c>
      <c r="AK52" s="53" t="e">
        <f>IF(AND('Mapa final'!#REF!="Muy Baja",'Mapa final'!#REF!="Catastrófico"),CONCATENATE("R7C",'Mapa final'!#REF!),"")</f>
        <v>#REF!</v>
      </c>
      <c r="AL52" s="53" t="e">
        <f>IF(AND('Mapa final'!#REF!="Muy Baja",'Mapa final'!#REF!="Catastrófico"),CONCATENATE("R7C",'Mapa final'!#REF!),"")</f>
        <v>#REF!</v>
      </c>
      <c r="AM52" s="54" t="str">
        <f>IF(AND('Mapa final'!$Y$30="Muy Baja",'Mapa final'!$AA$30="Catastrófico"),CONCATENATE("R7C",'Mapa final'!$O$30),"")</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307"/>
      <c r="C53" s="307"/>
      <c r="D53" s="308"/>
      <c r="E53" s="278"/>
      <c r="F53" s="279"/>
      <c r="G53" s="279"/>
      <c r="H53" s="279"/>
      <c r="I53" s="280"/>
      <c r="J53" s="73" t="str">
        <f>IF(AND('Mapa final'!$Y$31="Muy Baja",'Mapa final'!$AA$31="Leve"),CONCATENATE("R8C",'Mapa final'!$O$31),"")</f>
        <v/>
      </c>
      <c r="K53" s="74" t="e">
        <f>IF(AND('Mapa final'!#REF!="Muy Baja",'Mapa final'!#REF!="Leve"),CONCATENATE("R8C",'Mapa final'!#REF!),"")</f>
        <v>#REF!</v>
      </c>
      <c r="L53" s="74" t="e">
        <f>IF(AND('Mapa final'!#REF!="Muy Baja",'Mapa final'!#REF!="Leve"),CONCATENATE("R8C",'Mapa final'!#REF!),"")</f>
        <v>#REF!</v>
      </c>
      <c r="M53" s="74" t="e">
        <f>IF(AND('Mapa final'!#REF!="Muy Baja",'Mapa final'!#REF!="Leve"),CONCATENATE("R8C",'Mapa final'!#REF!),"")</f>
        <v>#REF!</v>
      </c>
      <c r="N53" s="74" t="e">
        <f>IF(AND('Mapa final'!#REF!="Muy Baja",'Mapa final'!#REF!="Leve"),CONCATENATE("R8C",'Mapa final'!#REF!),"")</f>
        <v>#REF!</v>
      </c>
      <c r="O53" s="75" t="e">
        <f>IF(AND('Mapa final'!#REF!="Muy Baja",'Mapa final'!#REF!="Leve"),CONCATENATE("R8C",'Mapa final'!#REF!),"")</f>
        <v>#REF!</v>
      </c>
      <c r="P53" s="73" t="str">
        <f>IF(AND('Mapa final'!$Y$31="Muy Baja",'Mapa final'!$AA$31="Menor"),CONCATENATE("R8C",'Mapa final'!$O$31),"")</f>
        <v/>
      </c>
      <c r="Q53" s="74" t="e">
        <f>IF(AND('Mapa final'!#REF!="Muy Baja",'Mapa final'!#REF!="Menor"),CONCATENATE("R8C",'Mapa final'!#REF!),"")</f>
        <v>#REF!</v>
      </c>
      <c r="R53" s="74" t="e">
        <f>IF(AND('Mapa final'!#REF!="Muy Baja",'Mapa final'!#REF!="Menor"),CONCATENATE("R8C",'Mapa final'!#REF!),"")</f>
        <v>#REF!</v>
      </c>
      <c r="S53" s="74" t="e">
        <f>IF(AND('Mapa final'!#REF!="Muy Baja",'Mapa final'!#REF!="Menor"),CONCATENATE("R8C",'Mapa final'!#REF!),"")</f>
        <v>#REF!</v>
      </c>
      <c r="T53" s="74" t="e">
        <f>IF(AND('Mapa final'!#REF!="Muy Baja",'Mapa final'!#REF!="Menor"),CONCATENATE("R8C",'Mapa final'!#REF!),"")</f>
        <v>#REF!</v>
      </c>
      <c r="U53" s="75" t="e">
        <f>IF(AND('Mapa final'!#REF!="Muy Baja",'Mapa final'!#REF!="Menor"),CONCATENATE("R8C",'Mapa final'!#REF!),"")</f>
        <v>#REF!</v>
      </c>
      <c r="V53" s="64" t="str">
        <f>IF(AND('Mapa final'!$Y$31="Muy Baja",'Mapa final'!$AA$31="Moderado"),CONCATENATE("R8C",'Mapa final'!$O$31),"")</f>
        <v/>
      </c>
      <c r="W53" s="65" t="e">
        <f>IF(AND('Mapa final'!#REF!="Muy Baja",'Mapa final'!#REF!="Moderado"),CONCATENATE("R8C",'Mapa final'!#REF!),"")</f>
        <v>#REF!</v>
      </c>
      <c r="X53" s="65" t="e">
        <f>IF(AND('Mapa final'!#REF!="Muy Baja",'Mapa final'!#REF!="Moderado"),CONCATENATE("R8C",'Mapa final'!#REF!),"")</f>
        <v>#REF!</v>
      </c>
      <c r="Y53" s="65" t="e">
        <f>IF(AND('Mapa final'!#REF!="Muy Baja",'Mapa final'!#REF!="Moderado"),CONCATENATE("R8C",'Mapa final'!#REF!),"")</f>
        <v>#REF!</v>
      </c>
      <c r="Z53" s="65" t="e">
        <f>IF(AND('Mapa final'!#REF!="Muy Baja",'Mapa final'!#REF!="Moderado"),CONCATENATE("R8C",'Mapa final'!#REF!),"")</f>
        <v>#REF!</v>
      </c>
      <c r="AA53" s="66" t="e">
        <f>IF(AND('Mapa final'!#REF!="Muy Baja",'Mapa final'!#REF!="Moderado"),CONCATENATE("R8C",'Mapa final'!#REF!),"")</f>
        <v>#REF!</v>
      </c>
      <c r="AB53" s="49" t="str">
        <f>IF(AND('Mapa final'!$Y$31="Muy Baja",'Mapa final'!$AA$31="Mayor"),CONCATENATE("R8C",'Mapa final'!$O$31),"")</f>
        <v/>
      </c>
      <c r="AC53" s="50" t="e">
        <f>IF(AND('Mapa final'!#REF!="Muy Baja",'Mapa final'!#REF!="Mayor"),CONCATENATE("R8C",'Mapa final'!#REF!),"")</f>
        <v>#REF!</v>
      </c>
      <c r="AD53" s="50" t="e">
        <f>IF(AND('Mapa final'!#REF!="Muy Baja",'Mapa final'!#REF!="Mayor"),CONCATENATE("R8C",'Mapa final'!#REF!),"")</f>
        <v>#REF!</v>
      </c>
      <c r="AE53" s="50" t="e">
        <f>IF(AND('Mapa final'!#REF!="Muy Baja",'Mapa final'!#REF!="Mayor"),CONCATENATE("R8C",'Mapa final'!#REF!),"")</f>
        <v>#REF!</v>
      </c>
      <c r="AF53" s="50" t="e">
        <f>IF(AND('Mapa final'!#REF!="Muy Baja",'Mapa final'!#REF!="Mayor"),CONCATENATE("R8C",'Mapa final'!#REF!),"")</f>
        <v>#REF!</v>
      </c>
      <c r="AG53" s="51" t="e">
        <f>IF(AND('Mapa final'!#REF!="Muy Baja",'Mapa final'!#REF!="Mayor"),CONCATENATE("R8C",'Mapa final'!#REF!),"")</f>
        <v>#REF!</v>
      </c>
      <c r="AH53" s="52" t="str">
        <f>IF(AND('Mapa final'!$Y$31="Muy Baja",'Mapa final'!$AA$31="Catastrófico"),CONCATENATE("R8C",'Mapa final'!$O$31),"")</f>
        <v/>
      </c>
      <c r="AI53" s="53" t="e">
        <f>IF(AND('Mapa final'!#REF!="Muy Baja",'Mapa final'!#REF!="Catastrófico"),CONCATENATE("R8C",'Mapa final'!#REF!),"")</f>
        <v>#REF!</v>
      </c>
      <c r="AJ53" s="53" t="e">
        <f>IF(AND('Mapa final'!#REF!="Muy Baja",'Mapa final'!#REF!="Catastrófico"),CONCATENATE("R8C",'Mapa final'!#REF!),"")</f>
        <v>#REF!</v>
      </c>
      <c r="AK53" s="53" t="e">
        <f>IF(AND('Mapa final'!#REF!="Muy Baja",'Mapa final'!#REF!="Catastrófico"),CONCATENATE("R8C",'Mapa final'!#REF!),"")</f>
        <v>#REF!</v>
      </c>
      <c r="AL53" s="53" t="e">
        <f>IF(AND('Mapa final'!#REF!="Muy Baja",'Mapa final'!#REF!="Catastrófico"),CONCATENATE("R8C",'Mapa final'!#REF!),"")</f>
        <v>#REF!</v>
      </c>
      <c r="AM53" s="54" t="e">
        <f>IF(AND('Mapa final'!#REF!="Muy Baja",'Mapa final'!#REF!="Catastrófico"),CONCATENATE("R8C",'Mapa final'!#REF!),"")</f>
        <v>#REF!</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307"/>
      <c r="C54" s="307"/>
      <c r="D54" s="308"/>
      <c r="E54" s="278"/>
      <c r="F54" s="279"/>
      <c r="G54" s="279"/>
      <c r="H54" s="279"/>
      <c r="I54" s="280"/>
      <c r="J54" s="73" t="str">
        <f>IF(AND('Mapa final'!$Y$32="Muy Baja",'Mapa final'!$AA$32="Leve"),CONCATENATE("R9C",'Mapa final'!$O$32),"")</f>
        <v/>
      </c>
      <c r="K54" s="74" t="e">
        <f>IF(AND('Mapa final'!#REF!="Muy Baja",'Mapa final'!#REF!="Leve"),CONCATENATE("R9C",'Mapa final'!#REF!),"")</f>
        <v>#REF!</v>
      </c>
      <c r="L54" s="74" t="e">
        <f>IF(AND('Mapa final'!#REF!="Muy Baja",'Mapa final'!#REF!="Leve"),CONCATENATE("R9C",'Mapa final'!#REF!),"")</f>
        <v>#REF!</v>
      </c>
      <c r="M54" s="74" t="e">
        <f>IF(AND('Mapa final'!#REF!="Muy Baja",'Mapa final'!#REF!="Leve"),CONCATENATE("R9C",'Mapa final'!#REF!),"")</f>
        <v>#REF!</v>
      </c>
      <c r="N54" s="74" t="e">
        <f>IF(AND('Mapa final'!#REF!="Muy Baja",'Mapa final'!#REF!="Leve"),CONCATENATE("R9C",'Mapa final'!#REF!),"")</f>
        <v>#REF!</v>
      </c>
      <c r="O54" s="75" t="e">
        <f>IF(AND('Mapa final'!#REF!="Muy Baja",'Mapa final'!#REF!="Leve"),CONCATENATE("R9C",'Mapa final'!#REF!),"")</f>
        <v>#REF!</v>
      </c>
      <c r="P54" s="73" t="str">
        <f>IF(AND('Mapa final'!$Y$32="Muy Baja",'Mapa final'!$AA$32="Menor"),CONCATENATE("R9C",'Mapa final'!$O$32),"")</f>
        <v/>
      </c>
      <c r="Q54" s="74" t="e">
        <f>IF(AND('Mapa final'!#REF!="Muy Baja",'Mapa final'!#REF!="Menor"),CONCATENATE("R9C",'Mapa final'!#REF!),"")</f>
        <v>#REF!</v>
      </c>
      <c r="R54" s="74" t="e">
        <f>IF(AND('Mapa final'!#REF!="Muy Baja",'Mapa final'!#REF!="Menor"),CONCATENATE("R9C",'Mapa final'!#REF!),"")</f>
        <v>#REF!</v>
      </c>
      <c r="S54" s="74" t="e">
        <f>IF(AND('Mapa final'!#REF!="Muy Baja",'Mapa final'!#REF!="Menor"),CONCATENATE("R9C",'Mapa final'!#REF!),"")</f>
        <v>#REF!</v>
      </c>
      <c r="T54" s="74" t="e">
        <f>IF(AND('Mapa final'!#REF!="Muy Baja",'Mapa final'!#REF!="Menor"),CONCATENATE("R9C",'Mapa final'!#REF!),"")</f>
        <v>#REF!</v>
      </c>
      <c r="U54" s="75" t="e">
        <f>IF(AND('Mapa final'!#REF!="Muy Baja",'Mapa final'!#REF!="Menor"),CONCATENATE("R9C",'Mapa final'!#REF!),"")</f>
        <v>#REF!</v>
      </c>
      <c r="V54" s="64" t="str">
        <f>IF(AND('Mapa final'!$Y$32="Muy Baja",'Mapa final'!$AA$32="Moderado"),CONCATENATE("R9C",'Mapa final'!$O$32),"")</f>
        <v/>
      </c>
      <c r="W54" s="65" t="e">
        <f>IF(AND('Mapa final'!#REF!="Muy Baja",'Mapa final'!#REF!="Moderado"),CONCATENATE("R9C",'Mapa final'!#REF!),"")</f>
        <v>#REF!</v>
      </c>
      <c r="X54" s="65" t="e">
        <f>IF(AND('Mapa final'!#REF!="Muy Baja",'Mapa final'!#REF!="Moderado"),CONCATENATE("R9C",'Mapa final'!#REF!),"")</f>
        <v>#REF!</v>
      </c>
      <c r="Y54" s="65" t="e">
        <f>IF(AND('Mapa final'!#REF!="Muy Baja",'Mapa final'!#REF!="Moderado"),CONCATENATE("R9C",'Mapa final'!#REF!),"")</f>
        <v>#REF!</v>
      </c>
      <c r="Z54" s="65" t="e">
        <f>IF(AND('Mapa final'!#REF!="Muy Baja",'Mapa final'!#REF!="Moderado"),CONCATENATE("R9C",'Mapa final'!#REF!),"")</f>
        <v>#REF!</v>
      </c>
      <c r="AA54" s="66" t="e">
        <f>IF(AND('Mapa final'!#REF!="Muy Baja",'Mapa final'!#REF!="Moderado"),CONCATENATE("R9C",'Mapa final'!#REF!),"")</f>
        <v>#REF!</v>
      </c>
      <c r="AB54" s="49" t="str">
        <f>IF(AND('Mapa final'!$Y$32="Muy Baja",'Mapa final'!$AA$32="Mayor"),CONCATENATE("R9C",'Mapa final'!$O$32),"")</f>
        <v/>
      </c>
      <c r="AC54" s="50" t="e">
        <f>IF(AND('Mapa final'!#REF!="Muy Baja",'Mapa final'!#REF!="Mayor"),CONCATENATE("R9C",'Mapa final'!#REF!),"")</f>
        <v>#REF!</v>
      </c>
      <c r="AD54" s="50" t="e">
        <f>IF(AND('Mapa final'!#REF!="Muy Baja",'Mapa final'!#REF!="Mayor"),CONCATENATE("R9C",'Mapa final'!#REF!),"")</f>
        <v>#REF!</v>
      </c>
      <c r="AE54" s="50" t="e">
        <f>IF(AND('Mapa final'!#REF!="Muy Baja",'Mapa final'!#REF!="Mayor"),CONCATENATE("R9C",'Mapa final'!#REF!),"")</f>
        <v>#REF!</v>
      </c>
      <c r="AF54" s="50" t="e">
        <f>IF(AND('Mapa final'!#REF!="Muy Baja",'Mapa final'!#REF!="Mayor"),CONCATENATE("R9C",'Mapa final'!#REF!),"")</f>
        <v>#REF!</v>
      </c>
      <c r="AG54" s="51" t="e">
        <f>IF(AND('Mapa final'!#REF!="Muy Baja",'Mapa final'!#REF!="Mayor"),CONCATENATE("R9C",'Mapa final'!#REF!),"")</f>
        <v>#REF!</v>
      </c>
      <c r="AH54" s="52" t="str">
        <f>IF(AND('Mapa final'!$Y$32="Muy Baja",'Mapa final'!$AA$32="Catastrófico"),CONCATENATE("R9C",'Mapa final'!$O$32),"")</f>
        <v/>
      </c>
      <c r="AI54" s="53" t="e">
        <f>IF(AND('Mapa final'!#REF!="Muy Baja",'Mapa final'!#REF!="Catastrófico"),CONCATENATE("R9C",'Mapa final'!#REF!),"")</f>
        <v>#REF!</v>
      </c>
      <c r="AJ54" s="53" t="e">
        <f>IF(AND('Mapa final'!#REF!="Muy Baja",'Mapa final'!#REF!="Catastrófico"),CONCATENATE("R9C",'Mapa final'!#REF!),"")</f>
        <v>#REF!</v>
      </c>
      <c r="AK54" s="53" t="e">
        <f>IF(AND('Mapa final'!#REF!="Muy Baja",'Mapa final'!#REF!="Catastrófico"),CONCATENATE("R9C",'Mapa final'!#REF!),"")</f>
        <v>#REF!</v>
      </c>
      <c r="AL54" s="53" t="e">
        <f>IF(AND('Mapa final'!#REF!="Muy Baja",'Mapa final'!#REF!="Catastrófico"),CONCATENATE("R9C",'Mapa final'!#REF!),"")</f>
        <v>#REF!</v>
      </c>
      <c r="AM54" s="54" t="e">
        <f>IF(AND('Mapa final'!#REF!="Muy Baja",'Mapa final'!#REF!="Catastrófico"),CONCATENATE("R9C",'Mapa final'!#REF!),"")</f>
        <v>#REF!</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307"/>
      <c r="C55" s="307"/>
      <c r="D55" s="308"/>
      <c r="E55" s="281"/>
      <c r="F55" s="282"/>
      <c r="G55" s="282"/>
      <c r="H55" s="282"/>
      <c r="I55" s="283"/>
      <c r="J55" s="76" t="str">
        <f>IF(AND('Mapa final'!$Y$33="Muy Baja",'Mapa final'!$AA$33="Leve"),CONCATENATE("R10C",'Mapa final'!$O$33),"")</f>
        <v/>
      </c>
      <c r="K55" s="77" t="str">
        <f>IF(AND('Mapa final'!$Y$34="Muy Baja",'Mapa final'!$AA$34="Leve"),CONCATENATE("R10C",'Mapa final'!$O$34),"")</f>
        <v/>
      </c>
      <c r="L55" s="77" t="str">
        <f>IF(AND('Mapa final'!$Y$35="Muy Baja",'Mapa final'!$AA$35="Leve"),CONCATENATE("R10C",'Mapa final'!$O$35),"")</f>
        <v/>
      </c>
      <c r="M55" s="77" t="str">
        <f>IF(AND('Mapa final'!$Y$36="Muy Baja",'Mapa final'!$AA$36="Leve"),CONCATENATE("R10C",'Mapa final'!$O$36),"")</f>
        <v/>
      </c>
      <c r="N55" s="77" t="str">
        <f>IF(AND('Mapa final'!$Y$37="Muy Baja",'Mapa final'!$AA$37="Leve"),CONCATENATE("R10C",'Mapa final'!$O$37),"")</f>
        <v/>
      </c>
      <c r="O55" s="78" t="str">
        <f>IF(AND('Mapa final'!$Y$38="Muy Baja",'Mapa final'!$AA$38="Leve"),CONCATENATE("R10C",'Mapa final'!$O$38),"")</f>
        <v/>
      </c>
      <c r="P55" s="76" t="str">
        <f>IF(AND('Mapa final'!$Y$33="Muy Baja",'Mapa final'!$AA$33="Menor"),CONCATENATE("R10C",'Mapa final'!$O$33),"")</f>
        <v/>
      </c>
      <c r="Q55" s="77" t="str">
        <f>IF(AND('Mapa final'!$Y$34="Muy Baja",'Mapa final'!$AA$34="Menor"),CONCATENATE("R10C",'Mapa final'!$O$34),"")</f>
        <v/>
      </c>
      <c r="R55" s="77" t="str">
        <f>IF(AND('Mapa final'!$Y$35="Muy Baja",'Mapa final'!$AA$35="Menor"),CONCATENATE("R10C",'Mapa final'!$O$35),"")</f>
        <v/>
      </c>
      <c r="S55" s="77" t="str">
        <f>IF(AND('Mapa final'!$Y$36="Muy Baja",'Mapa final'!$AA$36="Menor"),CONCATENATE("R10C",'Mapa final'!$O$36),"")</f>
        <v/>
      </c>
      <c r="T55" s="77" t="str">
        <f>IF(AND('Mapa final'!$Y$37="Muy Baja",'Mapa final'!$AA$37="Menor"),CONCATENATE("R10C",'Mapa final'!$O$37),"")</f>
        <v/>
      </c>
      <c r="U55" s="78" t="str">
        <f>IF(AND('Mapa final'!$Y$38="Muy Baja",'Mapa final'!$AA$38="Menor"),CONCATENATE("R10C",'Mapa final'!$O$38),"")</f>
        <v/>
      </c>
      <c r="V55" s="67" t="str">
        <f>IF(AND('Mapa final'!$Y$33="Muy Baja",'Mapa final'!$AA$33="Moderado"),CONCATENATE("R10C",'Mapa final'!$O$33),"")</f>
        <v/>
      </c>
      <c r="W55" s="68" t="str">
        <f>IF(AND('Mapa final'!$Y$34="Muy Baja",'Mapa final'!$AA$34="Moderado"),CONCATENATE("R10C",'Mapa final'!$O$34),"")</f>
        <v/>
      </c>
      <c r="X55" s="68" t="str">
        <f>IF(AND('Mapa final'!$Y$35="Muy Baja",'Mapa final'!$AA$35="Moderado"),CONCATENATE("R10C",'Mapa final'!$O$35),"")</f>
        <v/>
      </c>
      <c r="Y55" s="68" t="str">
        <f>IF(AND('Mapa final'!$Y$36="Muy Baja",'Mapa final'!$AA$36="Moderado"),CONCATENATE("R10C",'Mapa final'!$O$36),"")</f>
        <v/>
      </c>
      <c r="Z55" s="68" t="str">
        <f>IF(AND('Mapa final'!$Y$37="Muy Baja",'Mapa final'!$AA$37="Moderado"),CONCATENATE("R10C",'Mapa final'!$O$37),"")</f>
        <v/>
      </c>
      <c r="AA55" s="69" t="str">
        <f>IF(AND('Mapa final'!$Y$38="Muy Baja",'Mapa final'!$AA$38="Moderado"),CONCATENATE("R10C",'Mapa final'!$O$38),"")</f>
        <v/>
      </c>
      <c r="AB55" s="55" t="str">
        <f>IF(AND('Mapa final'!$Y$33="Muy Baja",'Mapa final'!$AA$33="Mayor"),CONCATENATE("R10C",'Mapa final'!$O$33),"")</f>
        <v/>
      </c>
      <c r="AC55" s="56" t="str">
        <f>IF(AND('Mapa final'!$Y$34="Muy Baja",'Mapa final'!$AA$34="Mayor"),CONCATENATE("R10C",'Mapa final'!$O$34),"")</f>
        <v/>
      </c>
      <c r="AD55" s="56" t="str">
        <f>IF(AND('Mapa final'!$Y$35="Muy Baja",'Mapa final'!$AA$35="Mayor"),CONCATENATE("R10C",'Mapa final'!$O$35),"")</f>
        <v/>
      </c>
      <c r="AE55" s="56" t="str">
        <f>IF(AND('Mapa final'!$Y$36="Muy Baja",'Mapa final'!$AA$36="Mayor"),CONCATENATE("R10C",'Mapa final'!$O$36),"")</f>
        <v/>
      </c>
      <c r="AF55" s="56" t="str">
        <f>IF(AND('Mapa final'!$Y$37="Muy Baja",'Mapa final'!$AA$37="Mayor"),CONCATENATE("R10C",'Mapa final'!$O$37),"")</f>
        <v/>
      </c>
      <c r="AG55" s="57" t="str">
        <f>IF(AND('Mapa final'!$Y$38="Muy Baja",'Mapa final'!$AA$38="Mayor"),CONCATENATE("R10C",'Mapa final'!$O$38),"")</f>
        <v/>
      </c>
      <c r="AH55" s="58" t="str">
        <f>IF(AND('Mapa final'!$Y$33="Muy Baja",'Mapa final'!$AA$33="Catastrófico"),CONCATENATE("R10C",'Mapa final'!$O$33),"")</f>
        <v/>
      </c>
      <c r="AI55" s="59" t="str">
        <f>IF(AND('Mapa final'!$Y$34="Muy Baja",'Mapa final'!$AA$34="Catastrófico"),CONCATENATE("R10C",'Mapa final'!$O$34),"")</f>
        <v/>
      </c>
      <c r="AJ55" s="59" t="str">
        <f>IF(AND('Mapa final'!$Y$35="Muy Baja",'Mapa final'!$AA$35="Catastrófico"),CONCATENATE("R10C",'Mapa final'!$O$35),"")</f>
        <v/>
      </c>
      <c r="AK55" s="59" t="str">
        <f>IF(AND('Mapa final'!$Y$36="Muy Baja",'Mapa final'!$AA$36="Catastrófico"),CONCATENATE("R10C",'Mapa final'!$O$36),"")</f>
        <v/>
      </c>
      <c r="AL55" s="59" t="str">
        <f>IF(AND('Mapa final'!$Y$37="Muy Baja",'Mapa final'!$AA$37="Catastrófico"),CONCATENATE("R10C",'Mapa final'!$O$37),"")</f>
        <v/>
      </c>
      <c r="AM55" s="60" t="str">
        <f>IF(AND('Mapa final'!$Y$38="Muy Baja",'Mapa final'!$AA$38="Catastrófico"),CONCATENATE("R10C",'Mapa final'!$O$38),"")</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75" t="s">
        <v>112</v>
      </c>
      <c r="K56" s="276"/>
      <c r="L56" s="276"/>
      <c r="M56" s="276"/>
      <c r="N56" s="276"/>
      <c r="O56" s="277"/>
      <c r="P56" s="275" t="s">
        <v>111</v>
      </c>
      <c r="Q56" s="276"/>
      <c r="R56" s="276"/>
      <c r="S56" s="276"/>
      <c r="T56" s="276"/>
      <c r="U56" s="277"/>
      <c r="V56" s="275" t="s">
        <v>110</v>
      </c>
      <c r="W56" s="276"/>
      <c r="X56" s="276"/>
      <c r="Y56" s="276"/>
      <c r="Z56" s="276"/>
      <c r="AA56" s="277"/>
      <c r="AB56" s="275" t="s">
        <v>109</v>
      </c>
      <c r="AC56" s="284"/>
      <c r="AD56" s="276"/>
      <c r="AE56" s="276"/>
      <c r="AF56" s="276"/>
      <c r="AG56" s="277"/>
      <c r="AH56" s="275" t="s">
        <v>108</v>
      </c>
      <c r="AI56" s="276"/>
      <c r="AJ56" s="276"/>
      <c r="AK56" s="276"/>
      <c r="AL56" s="276"/>
      <c r="AM56" s="277"/>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78"/>
      <c r="K57" s="279"/>
      <c r="L57" s="279"/>
      <c r="M57" s="279"/>
      <c r="N57" s="279"/>
      <c r="O57" s="280"/>
      <c r="P57" s="278"/>
      <c r="Q57" s="279"/>
      <c r="R57" s="279"/>
      <c r="S57" s="279"/>
      <c r="T57" s="279"/>
      <c r="U57" s="280"/>
      <c r="V57" s="278"/>
      <c r="W57" s="279"/>
      <c r="X57" s="279"/>
      <c r="Y57" s="279"/>
      <c r="Z57" s="279"/>
      <c r="AA57" s="280"/>
      <c r="AB57" s="278"/>
      <c r="AC57" s="279"/>
      <c r="AD57" s="279"/>
      <c r="AE57" s="279"/>
      <c r="AF57" s="279"/>
      <c r="AG57" s="280"/>
      <c r="AH57" s="278"/>
      <c r="AI57" s="279"/>
      <c r="AJ57" s="279"/>
      <c r="AK57" s="279"/>
      <c r="AL57" s="279"/>
      <c r="AM57" s="2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78"/>
      <c r="K58" s="279"/>
      <c r="L58" s="279"/>
      <c r="M58" s="279"/>
      <c r="N58" s="279"/>
      <c r="O58" s="280"/>
      <c r="P58" s="278"/>
      <c r="Q58" s="279"/>
      <c r="R58" s="279"/>
      <c r="S58" s="279"/>
      <c r="T58" s="279"/>
      <c r="U58" s="280"/>
      <c r="V58" s="278"/>
      <c r="W58" s="279"/>
      <c r="X58" s="279"/>
      <c r="Y58" s="279"/>
      <c r="Z58" s="279"/>
      <c r="AA58" s="280"/>
      <c r="AB58" s="278"/>
      <c r="AC58" s="279"/>
      <c r="AD58" s="279"/>
      <c r="AE58" s="279"/>
      <c r="AF58" s="279"/>
      <c r="AG58" s="280"/>
      <c r="AH58" s="278"/>
      <c r="AI58" s="279"/>
      <c r="AJ58" s="279"/>
      <c r="AK58" s="279"/>
      <c r="AL58" s="279"/>
      <c r="AM58" s="2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78"/>
      <c r="K59" s="279"/>
      <c r="L59" s="279"/>
      <c r="M59" s="279"/>
      <c r="N59" s="279"/>
      <c r="O59" s="280"/>
      <c r="P59" s="278"/>
      <c r="Q59" s="279"/>
      <c r="R59" s="279"/>
      <c r="S59" s="279"/>
      <c r="T59" s="279"/>
      <c r="U59" s="280"/>
      <c r="V59" s="278"/>
      <c r="W59" s="279"/>
      <c r="X59" s="279"/>
      <c r="Y59" s="279"/>
      <c r="Z59" s="279"/>
      <c r="AA59" s="280"/>
      <c r="AB59" s="278"/>
      <c r="AC59" s="279"/>
      <c r="AD59" s="279"/>
      <c r="AE59" s="279"/>
      <c r="AF59" s="279"/>
      <c r="AG59" s="280"/>
      <c r="AH59" s="278"/>
      <c r="AI59" s="279"/>
      <c r="AJ59" s="279"/>
      <c r="AK59" s="279"/>
      <c r="AL59" s="279"/>
      <c r="AM59" s="2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78"/>
      <c r="K60" s="279"/>
      <c r="L60" s="279"/>
      <c r="M60" s="279"/>
      <c r="N60" s="279"/>
      <c r="O60" s="280"/>
      <c r="P60" s="278"/>
      <c r="Q60" s="279"/>
      <c r="R60" s="279"/>
      <c r="S60" s="279"/>
      <c r="T60" s="279"/>
      <c r="U60" s="280"/>
      <c r="V60" s="278"/>
      <c r="W60" s="279"/>
      <c r="X60" s="279"/>
      <c r="Y60" s="279"/>
      <c r="Z60" s="279"/>
      <c r="AA60" s="280"/>
      <c r="AB60" s="278"/>
      <c r="AC60" s="279"/>
      <c r="AD60" s="279"/>
      <c r="AE60" s="279"/>
      <c r="AF60" s="279"/>
      <c r="AG60" s="280"/>
      <c r="AH60" s="278"/>
      <c r="AI60" s="279"/>
      <c r="AJ60" s="279"/>
      <c r="AK60" s="279"/>
      <c r="AL60" s="279"/>
      <c r="AM60" s="2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81"/>
      <c r="K61" s="282"/>
      <c r="L61" s="282"/>
      <c r="M61" s="282"/>
      <c r="N61" s="282"/>
      <c r="O61" s="283"/>
      <c r="P61" s="281"/>
      <c r="Q61" s="282"/>
      <c r="R61" s="282"/>
      <c r="S61" s="282"/>
      <c r="T61" s="282"/>
      <c r="U61" s="283"/>
      <c r="V61" s="281"/>
      <c r="W61" s="282"/>
      <c r="X61" s="282"/>
      <c r="Y61" s="282"/>
      <c r="Z61" s="282"/>
      <c r="AA61" s="283"/>
      <c r="AB61" s="281"/>
      <c r="AC61" s="282"/>
      <c r="AD61" s="282"/>
      <c r="AE61" s="282"/>
      <c r="AF61" s="282"/>
      <c r="AG61" s="283"/>
      <c r="AH61" s="281"/>
      <c r="AI61" s="282"/>
      <c r="AJ61" s="282"/>
      <c r="AK61" s="282"/>
      <c r="AL61" s="282"/>
      <c r="AM61" s="283"/>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327" t="s">
        <v>161</v>
      </c>
      <c r="C2" s="327"/>
      <c r="D2" s="327"/>
      <c r="E2" s="327"/>
      <c r="F2" s="327"/>
      <c r="G2" s="327"/>
      <c r="H2" s="327"/>
      <c r="I2" s="327"/>
      <c r="J2" s="306" t="s">
        <v>2</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327"/>
      <c r="C3" s="327"/>
      <c r="D3" s="327"/>
      <c r="E3" s="327"/>
      <c r="F3" s="327"/>
      <c r="G3" s="327"/>
      <c r="H3" s="327"/>
      <c r="I3" s="327"/>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327"/>
      <c r="C4" s="327"/>
      <c r="D4" s="327"/>
      <c r="E4" s="327"/>
      <c r="F4" s="327"/>
      <c r="G4" s="327"/>
      <c r="H4" s="327"/>
      <c r="I4" s="327"/>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307" t="s">
        <v>4</v>
      </c>
      <c r="C6" s="307"/>
      <c r="D6" s="308"/>
      <c r="E6" s="364" t="s">
        <v>116</v>
      </c>
      <c r="F6" s="365"/>
      <c r="G6" s="365"/>
      <c r="H6" s="365"/>
      <c r="I6" s="366"/>
      <c r="J6" s="361" t="str">
        <f>IF(AND('Mapa final'!$H$10="Muy Alta",'Mapa final'!$L$10="Leve"),CONCATENATE("R",'Mapa final'!$A$10),"")</f>
        <v/>
      </c>
      <c r="K6" s="362"/>
      <c r="L6" s="362" t="str">
        <f>IF(AND('Mapa final'!$H$16="Muy Alta",'Mapa final'!$L$16="Leve"),CONCATENATE("R",'Mapa final'!$A$16),"")</f>
        <v/>
      </c>
      <c r="M6" s="362"/>
      <c r="N6" s="362" t="e">
        <f>IF(AND('Mapa final'!#REF!="Muy Alta",'Mapa final'!#REF!="Leve"),CONCATENATE("R",'Mapa final'!#REF!),"")</f>
        <v>#REF!</v>
      </c>
      <c r="O6" s="363"/>
      <c r="P6" s="361" t="str">
        <f>IF(AND('Mapa final'!$H$10="Muy Alta",'Mapa final'!$L$10="Menor"),CONCATENATE("R",'Mapa final'!$A$10),"")</f>
        <v/>
      </c>
      <c r="Q6" s="362"/>
      <c r="R6" s="362" t="str">
        <f>IF(AND('Mapa final'!$H$16="Muy Alta",'Mapa final'!$L$16="Menor"),CONCATENATE("R",'Mapa final'!$A$16),"")</f>
        <v/>
      </c>
      <c r="S6" s="362"/>
      <c r="T6" s="362" t="e">
        <f>IF(AND('Mapa final'!#REF!="Muy Alta",'Mapa final'!#REF!="Menor"),CONCATENATE("R",'Mapa final'!#REF!),"")</f>
        <v>#REF!</v>
      </c>
      <c r="U6" s="363"/>
      <c r="V6" s="361" t="str">
        <f>IF(AND('Mapa final'!$H$10="Muy Alta",'Mapa final'!$L$10="Moderado"),CONCATENATE("R",'Mapa final'!$A$10),"")</f>
        <v/>
      </c>
      <c r="W6" s="362"/>
      <c r="X6" s="362" t="str">
        <f>IF(AND('Mapa final'!$H$16="Muy Alta",'Mapa final'!$L$16="Moderado"),CONCATENATE("R",'Mapa final'!$A$16),"")</f>
        <v/>
      </c>
      <c r="Y6" s="362"/>
      <c r="Z6" s="362" t="e">
        <f>IF(AND('Mapa final'!#REF!="Muy Alta",'Mapa final'!#REF!="Moderado"),CONCATENATE("R",'Mapa final'!#REF!),"")</f>
        <v>#REF!</v>
      </c>
      <c r="AA6" s="363"/>
      <c r="AB6" s="361" t="str">
        <f>IF(AND('Mapa final'!$H$10="Muy Alta",'Mapa final'!$L$10="Mayor"),CONCATENATE("R",'Mapa final'!$A$10),"")</f>
        <v/>
      </c>
      <c r="AC6" s="362"/>
      <c r="AD6" s="362" t="str">
        <f>IF(AND('Mapa final'!$H$16="Muy Alta",'Mapa final'!$L$16="Mayor"),CONCATENATE("R",'Mapa final'!$A$16),"")</f>
        <v/>
      </c>
      <c r="AE6" s="362"/>
      <c r="AF6" s="362" t="e">
        <f>IF(AND('Mapa final'!#REF!="Muy Alta",'Mapa final'!#REF!="Mayor"),CONCATENATE("R",'Mapa final'!#REF!),"")</f>
        <v>#REF!</v>
      </c>
      <c r="AG6" s="363"/>
      <c r="AH6" s="352" t="str">
        <f>IF(AND('Mapa final'!$H$10="Muy Alta",'Mapa final'!$L$10="Catastrófico"),CONCATENATE("R",'Mapa final'!$A$10),"")</f>
        <v/>
      </c>
      <c r="AI6" s="353"/>
      <c r="AJ6" s="353" t="str">
        <f>IF(AND('Mapa final'!$H$16="Muy Alta",'Mapa final'!$L$16="Catastrófico"),CONCATENATE("R",'Mapa final'!$A$16),"")</f>
        <v/>
      </c>
      <c r="AK6" s="353"/>
      <c r="AL6" s="353" t="e">
        <f>IF(AND('Mapa final'!#REF!="Muy Alta",'Mapa final'!#REF!="Catastrófico"),CONCATENATE("R",'Mapa final'!#REF!),"")</f>
        <v>#REF!</v>
      </c>
      <c r="AM6" s="354"/>
      <c r="AO6" s="374" t="s">
        <v>79</v>
      </c>
      <c r="AP6" s="375"/>
      <c r="AQ6" s="375"/>
      <c r="AR6" s="375"/>
      <c r="AS6" s="375"/>
      <c r="AT6" s="376"/>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307"/>
      <c r="C7" s="307"/>
      <c r="D7" s="308"/>
      <c r="E7" s="367"/>
      <c r="F7" s="368"/>
      <c r="G7" s="368"/>
      <c r="H7" s="368"/>
      <c r="I7" s="369"/>
      <c r="J7" s="355"/>
      <c r="K7" s="356"/>
      <c r="L7" s="356"/>
      <c r="M7" s="356"/>
      <c r="N7" s="356"/>
      <c r="O7" s="357"/>
      <c r="P7" s="355"/>
      <c r="Q7" s="356"/>
      <c r="R7" s="356"/>
      <c r="S7" s="356"/>
      <c r="T7" s="356"/>
      <c r="U7" s="357"/>
      <c r="V7" s="355"/>
      <c r="W7" s="356"/>
      <c r="X7" s="356"/>
      <c r="Y7" s="356"/>
      <c r="Z7" s="356"/>
      <c r="AA7" s="357"/>
      <c r="AB7" s="355"/>
      <c r="AC7" s="356"/>
      <c r="AD7" s="356"/>
      <c r="AE7" s="356"/>
      <c r="AF7" s="356"/>
      <c r="AG7" s="357"/>
      <c r="AH7" s="346"/>
      <c r="AI7" s="347"/>
      <c r="AJ7" s="347"/>
      <c r="AK7" s="347"/>
      <c r="AL7" s="347"/>
      <c r="AM7" s="348"/>
      <c r="AN7" s="80"/>
      <c r="AO7" s="377"/>
      <c r="AP7" s="378"/>
      <c r="AQ7" s="378"/>
      <c r="AR7" s="378"/>
      <c r="AS7" s="378"/>
      <c r="AT7" s="379"/>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307"/>
      <c r="C8" s="307"/>
      <c r="D8" s="308"/>
      <c r="E8" s="367"/>
      <c r="F8" s="368"/>
      <c r="G8" s="368"/>
      <c r="H8" s="368"/>
      <c r="I8" s="369"/>
      <c r="J8" s="355" t="str">
        <f>IF(AND('Mapa final'!$H$19="Muy Alta",'Mapa final'!$L$19="Leve"),CONCATENATE("R",'Mapa final'!$A$19),"")</f>
        <v/>
      </c>
      <c r="K8" s="356"/>
      <c r="L8" s="356" t="str">
        <f>IF(AND('Mapa final'!$H$20="Muy Alta",'Mapa final'!$L$20="Leve"),CONCATENATE("R",'Mapa final'!$A$20),"")</f>
        <v/>
      </c>
      <c r="M8" s="356"/>
      <c r="N8" s="356" t="str">
        <f>IF(AND('Mapa final'!$H$26="Muy Alta",'Mapa final'!$L$26="Leve"),CONCATENATE("R",'Mapa final'!$A$26),"")</f>
        <v/>
      </c>
      <c r="O8" s="357"/>
      <c r="P8" s="355" t="str">
        <f>IF(AND('Mapa final'!$H$19="Muy Alta",'Mapa final'!$L$19="Menor"),CONCATENATE("R",'Mapa final'!$A$19),"")</f>
        <v/>
      </c>
      <c r="Q8" s="356"/>
      <c r="R8" s="356" t="str">
        <f>IF(AND('Mapa final'!$H$20="Muy Alta",'Mapa final'!$L$20="Menor"),CONCATENATE("R",'Mapa final'!$A$20),"")</f>
        <v/>
      </c>
      <c r="S8" s="356"/>
      <c r="T8" s="356" t="str">
        <f>IF(AND('Mapa final'!$H$26="Muy Alta",'Mapa final'!$L$26="Menor"),CONCATENATE("R",'Mapa final'!$A$26),"")</f>
        <v/>
      </c>
      <c r="U8" s="357"/>
      <c r="V8" s="355" t="str">
        <f>IF(AND('Mapa final'!$H$19="Muy Alta",'Mapa final'!$L$19="Moderado"),CONCATENATE("R",'Mapa final'!$A$19),"")</f>
        <v/>
      </c>
      <c r="W8" s="356"/>
      <c r="X8" s="356" t="str">
        <f>IF(AND('Mapa final'!$H$20="Muy Alta",'Mapa final'!$L$20="Moderado"),CONCATENATE("R",'Mapa final'!$A$20),"")</f>
        <v/>
      </c>
      <c r="Y8" s="356"/>
      <c r="Z8" s="356" t="str">
        <f>IF(AND('Mapa final'!$H$26="Muy Alta",'Mapa final'!$L$26="Moderado"),CONCATENATE("R",'Mapa final'!$A$26),"")</f>
        <v/>
      </c>
      <c r="AA8" s="357"/>
      <c r="AB8" s="355" t="str">
        <f>IF(AND('Mapa final'!$H$19="Muy Alta",'Mapa final'!$L$19="Mayor"),CONCATENATE("R",'Mapa final'!$A$19),"")</f>
        <v/>
      </c>
      <c r="AC8" s="356"/>
      <c r="AD8" s="356" t="str">
        <f>IF(AND('Mapa final'!$H$20="Muy Alta",'Mapa final'!$L$20="Mayor"),CONCATENATE("R",'Mapa final'!$A$20),"")</f>
        <v/>
      </c>
      <c r="AE8" s="356"/>
      <c r="AF8" s="356" t="str">
        <f>IF(AND('Mapa final'!$H$26="Muy Alta",'Mapa final'!$L$26="Mayor"),CONCATENATE("R",'Mapa final'!$A$26),"")</f>
        <v/>
      </c>
      <c r="AG8" s="357"/>
      <c r="AH8" s="346" t="str">
        <f>IF(AND('Mapa final'!$H$19="Muy Alta",'Mapa final'!$L$19="Catastrófico"),CONCATENATE("R",'Mapa final'!$A$19),"")</f>
        <v/>
      </c>
      <c r="AI8" s="347"/>
      <c r="AJ8" s="347" t="str">
        <f>IF(AND('Mapa final'!$H$20="Muy Alta",'Mapa final'!$L$20="Catastrófico"),CONCATENATE("R",'Mapa final'!$A$20),"")</f>
        <v/>
      </c>
      <c r="AK8" s="347"/>
      <c r="AL8" s="347" t="str">
        <f>IF(AND('Mapa final'!$H$26="Muy Alta",'Mapa final'!$L$26="Catastrófico"),CONCATENATE("R",'Mapa final'!$A$26),"")</f>
        <v/>
      </c>
      <c r="AM8" s="348"/>
      <c r="AN8" s="80"/>
      <c r="AO8" s="377"/>
      <c r="AP8" s="378"/>
      <c r="AQ8" s="378"/>
      <c r="AR8" s="378"/>
      <c r="AS8" s="378"/>
      <c r="AT8" s="379"/>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307"/>
      <c r="C9" s="307"/>
      <c r="D9" s="308"/>
      <c r="E9" s="367"/>
      <c r="F9" s="368"/>
      <c r="G9" s="368"/>
      <c r="H9" s="368"/>
      <c r="I9" s="369"/>
      <c r="J9" s="355"/>
      <c r="K9" s="356"/>
      <c r="L9" s="356"/>
      <c r="M9" s="356"/>
      <c r="N9" s="356"/>
      <c r="O9" s="357"/>
      <c r="P9" s="355"/>
      <c r="Q9" s="356"/>
      <c r="R9" s="356"/>
      <c r="S9" s="356"/>
      <c r="T9" s="356"/>
      <c r="U9" s="357"/>
      <c r="V9" s="355"/>
      <c r="W9" s="356"/>
      <c r="X9" s="356"/>
      <c r="Y9" s="356"/>
      <c r="Z9" s="356"/>
      <c r="AA9" s="357"/>
      <c r="AB9" s="355"/>
      <c r="AC9" s="356"/>
      <c r="AD9" s="356"/>
      <c r="AE9" s="356"/>
      <c r="AF9" s="356"/>
      <c r="AG9" s="357"/>
      <c r="AH9" s="346"/>
      <c r="AI9" s="347"/>
      <c r="AJ9" s="347"/>
      <c r="AK9" s="347"/>
      <c r="AL9" s="347"/>
      <c r="AM9" s="348"/>
      <c r="AN9" s="80"/>
      <c r="AO9" s="377"/>
      <c r="AP9" s="378"/>
      <c r="AQ9" s="378"/>
      <c r="AR9" s="378"/>
      <c r="AS9" s="378"/>
      <c r="AT9" s="379"/>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307"/>
      <c r="C10" s="307"/>
      <c r="D10" s="308"/>
      <c r="E10" s="367"/>
      <c r="F10" s="368"/>
      <c r="G10" s="368"/>
      <c r="H10" s="368"/>
      <c r="I10" s="369"/>
      <c r="J10" s="355" t="str">
        <f>IF(AND('Mapa final'!$H$29="Muy Alta",'Mapa final'!$L$29="Leve"),CONCATENATE("R",'Mapa final'!$A$29),"")</f>
        <v/>
      </c>
      <c r="K10" s="356"/>
      <c r="L10" s="356" t="str">
        <f>IF(AND('Mapa final'!$H$31="Muy Alta",'Mapa final'!$L$31="Leve"),CONCATENATE("R",'Mapa final'!$A$31),"")</f>
        <v/>
      </c>
      <c r="M10" s="356"/>
      <c r="N10" s="356" t="str">
        <f>IF(AND('Mapa final'!$H$32="Muy Alta",'Mapa final'!$L$32="Leve"),CONCATENATE("R",'Mapa final'!$A$32),"")</f>
        <v/>
      </c>
      <c r="O10" s="357"/>
      <c r="P10" s="355" t="str">
        <f>IF(AND('Mapa final'!$H$29="Muy Alta",'Mapa final'!$L$29="Menor"),CONCATENATE("R",'Mapa final'!$A$29),"")</f>
        <v/>
      </c>
      <c r="Q10" s="356"/>
      <c r="R10" s="356" t="str">
        <f>IF(AND('Mapa final'!$H$31="Muy Alta",'Mapa final'!$L$31="Menor"),CONCATENATE("R",'Mapa final'!$A$31),"")</f>
        <v/>
      </c>
      <c r="S10" s="356"/>
      <c r="T10" s="356" t="str">
        <f>IF(AND('Mapa final'!$H$32="Muy Alta",'Mapa final'!$L$32="Menor"),CONCATENATE("R",'Mapa final'!$A$32),"")</f>
        <v/>
      </c>
      <c r="U10" s="357"/>
      <c r="V10" s="355" t="str">
        <f>IF(AND('Mapa final'!$H$29="Muy Alta",'Mapa final'!$L$29="Moderado"),CONCATENATE("R",'Mapa final'!$A$29),"")</f>
        <v/>
      </c>
      <c r="W10" s="356"/>
      <c r="X10" s="356" t="str">
        <f>IF(AND('Mapa final'!$H$31="Muy Alta",'Mapa final'!$L$31="Moderado"),CONCATENATE("R",'Mapa final'!$A$31),"")</f>
        <v/>
      </c>
      <c r="Y10" s="356"/>
      <c r="Z10" s="356" t="str">
        <f>IF(AND('Mapa final'!$H$32="Muy Alta",'Mapa final'!$L$32="Moderado"),CONCATENATE("R",'Mapa final'!$A$32),"")</f>
        <v/>
      </c>
      <c r="AA10" s="357"/>
      <c r="AB10" s="355" t="str">
        <f>IF(AND('Mapa final'!$H$29="Muy Alta",'Mapa final'!$L$29="Mayor"),CONCATENATE("R",'Mapa final'!$A$29),"")</f>
        <v/>
      </c>
      <c r="AC10" s="356"/>
      <c r="AD10" s="356" t="str">
        <f>IF(AND('Mapa final'!$H$31="Muy Alta",'Mapa final'!$L$31="Mayor"),CONCATENATE("R",'Mapa final'!$A$31),"")</f>
        <v/>
      </c>
      <c r="AE10" s="356"/>
      <c r="AF10" s="356" t="str">
        <f>IF(AND('Mapa final'!$H$32="Muy Alta",'Mapa final'!$L$32="Mayor"),CONCATENATE("R",'Mapa final'!$A$32),"")</f>
        <v/>
      </c>
      <c r="AG10" s="357"/>
      <c r="AH10" s="346" t="str">
        <f>IF(AND('Mapa final'!$H$29="Muy Alta",'Mapa final'!$L$29="Catastrófico"),CONCATENATE("R",'Mapa final'!$A$29),"")</f>
        <v/>
      </c>
      <c r="AI10" s="347"/>
      <c r="AJ10" s="347" t="str">
        <f>IF(AND('Mapa final'!$H$31="Muy Alta",'Mapa final'!$L$31="Catastrófico"),CONCATENATE("R",'Mapa final'!$A$31),"")</f>
        <v/>
      </c>
      <c r="AK10" s="347"/>
      <c r="AL10" s="347" t="str">
        <f>IF(AND('Mapa final'!$H$32="Muy Alta",'Mapa final'!$L$32="Catastrófico"),CONCATENATE("R",'Mapa final'!$A$32),"")</f>
        <v/>
      </c>
      <c r="AM10" s="348"/>
      <c r="AN10" s="80"/>
      <c r="AO10" s="377"/>
      <c r="AP10" s="378"/>
      <c r="AQ10" s="378"/>
      <c r="AR10" s="378"/>
      <c r="AS10" s="378"/>
      <c r="AT10" s="379"/>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307"/>
      <c r="C11" s="307"/>
      <c r="D11" s="308"/>
      <c r="E11" s="367"/>
      <c r="F11" s="368"/>
      <c r="G11" s="368"/>
      <c r="H11" s="368"/>
      <c r="I11" s="369"/>
      <c r="J11" s="355"/>
      <c r="K11" s="356"/>
      <c r="L11" s="356"/>
      <c r="M11" s="356"/>
      <c r="N11" s="356"/>
      <c r="O11" s="357"/>
      <c r="P11" s="355"/>
      <c r="Q11" s="356"/>
      <c r="R11" s="356"/>
      <c r="S11" s="356"/>
      <c r="T11" s="356"/>
      <c r="U11" s="357"/>
      <c r="V11" s="355"/>
      <c r="W11" s="356"/>
      <c r="X11" s="356"/>
      <c r="Y11" s="356"/>
      <c r="Z11" s="356"/>
      <c r="AA11" s="357"/>
      <c r="AB11" s="355"/>
      <c r="AC11" s="356"/>
      <c r="AD11" s="356"/>
      <c r="AE11" s="356"/>
      <c r="AF11" s="356"/>
      <c r="AG11" s="357"/>
      <c r="AH11" s="346"/>
      <c r="AI11" s="347"/>
      <c r="AJ11" s="347"/>
      <c r="AK11" s="347"/>
      <c r="AL11" s="347"/>
      <c r="AM11" s="348"/>
      <c r="AN11" s="80"/>
      <c r="AO11" s="377"/>
      <c r="AP11" s="378"/>
      <c r="AQ11" s="378"/>
      <c r="AR11" s="378"/>
      <c r="AS11" s="378"/>
      <c r="AT11" s="379"/>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307"/>
      <c r="C12" s="307"/>
      <c r="D12" s="308"/>
      <c r="E12" s="367"/>
      <c r="F12" s="368"/>
      <c r="G12" s="368"/>
      <c r="H12" s="368"/>
      <c r="I12" s="369"/>
      <c r="J12" s="355" t="str">
        <f>IF(AND('Mapa final'!$H$33="Muy Alta",'Mapa final'!$L$33="Leve"),CONCATENATE("R",'Mapa final'!$A$33),"")</f>
        <v/>
      </c>
      <c r="K12" s="356"/>
      <c r="L12" s="356" t="str">
        <f>IF(AND('Mapa final'!$H$39="Muy Alta",'Mapa final'!$L$39="Leve"),CONCATENATE("R",'Mapa final'!$A$39),"")</f>
        <v/>
      </c>
      <c r="M12" s="356"/>
      <c r="N12" s="356" t="str">
        <f>IF(AND('Mapa final'!$H$45="Muy Alta",'Mapa final'!$L$45="Leve"),CONCATENATE("R",'Mapa final'!$A$45),"")</f>
        <v/>
      </c>
      <c r="O12" s="357"/>
      <c r="P12" s="355" t="str">
        <f>IF(AND('Mapa final'!$H$33="Muy Alta",'Mapa final'!$L$33="Menor"),CONCATENATE("R",'Mapa final'!$A$33),"")</f>
        <v/>
      </c>
      <c r="Q12" s="356"/>
      <c r="R12" s="356" t="str">
        <f>IF(AND('Mapa final'!$H$39="Muy Alta",'Mapa final'!$L$39="Menor"),CONCATENATE("R",'Mapa final'!$A$39),"")</f>
        <v/>
      </c>
      <c r="S12" s="356"/>
      <c r="T12" s="356" t="str">
        <f>IF(AND('Mapa final'!$H$45="Muy Alta",'Mapa final'!$L$45="Menor"),CONCATENATE("R",'Mapa final'!$A$45),"")</f>
        <v/>
      </c>
      <c r="U12" s="357"/>
      <c r="V12" s="355" t="str">
        <f>IF(AND('Mapa final'!$H$33="Muy Alta",'Mapa final'!$L$33="Moderado"),CONCATENATE("R",'Mapa final'!$A$33),"")</f>
        <v/>
      </c>
      <c r="W12" s="356"/>
      <c r="X12" s="356" t="str">
        <f>IF(AND('Mapa final'!$H$39="Muy Alta",'Mapa final'!$L$39="Moderado"),CONCATENATE("R",'Mapa final'!$A$39),"")</f>
        <v/>
      </c>
      <c r="Y12" s="356"/>
      <c r="Z12" s="356" t="str">
        <f>IF(AND('Mapa final'!$H$45="Muy Alta",'Mapa final'!$L$45="Moderado"),CONCATENATE("R",'Mapa final'!$A$45),"")</f>
        <v/>
      </c>
      <c r="AA12" s="357"/>
      <c r="AB12" s="355" t="str">
        <f>IF(AND('Mapa final'!$H$33="Muy Alta",'Mapa final'!$L$33="Mayor"),CONCATENATE("R",'Mapa final'!$A$33),"")</f>
        <v/>
      </c>
      <c r="AC12" s="356"/>
      <c r="AD12" s="356" t="str">
        <f>IF(AND('Mapa final'!$H$39="Muy Alta",'Mapa final'!$L$39="Mayor"),CONCATENATE("R",'Mapa final'!$A$39),"")</f>
        <v/>
      </c>
      <c r="AE12" s="356"/>
      <c r="AF12" s="356" t="str">
        <f>IF(AND('Mapa final'!$H$45="Muy Alta",'Mapa final'!$L$45="Mayor"),CONCATENATE("R",'Mapa final'!$A$45),"")</f>
        <v/>
      </c>
      <c r="AG12" s="357"/>
      <c r="AH12" s="346" t="str">
        <f>IF(AND('Mapa final'!$H$33="Muy Alta",'Mapa final'!$L$33="Catastrófico"),CONCATENATE("R",'Mapa final'!$A$33),"")</f>
        <v/>
      </c>
      <c r="AI12" s="347"/>
      <c r="AJ12" s="347" t="str">
        <f>IF(AND('Mapa final'!$H$39="Muy Alta",'Mapa final'!$L$39="Catastrófico"),CONCATENATE("R",'Mapa final'!$A$39),"")</f>
        <v/>
      </c>
      <c r="AK12" s="347"/>
      <c r="AL12" s="347" t="str">
        <f>IF(AND('Mapa final'!$H$45="Muy Alta",'Mapa final'!$L$45="Catastrófico"),CONCATENATE("R",'Mapa final'!$A$45),"")</f>
        <v/>
      </c>
      <c r="AM12" s="348"/>
      <c r="AN12" s="80"/>
      <c r="AO12" s="377"/>
      <c r="AP12" s="378"/>
      <c r="AQ12" s="378"/>
      <c r="AR12" s="378"/>
      <c r="AS12" s="378"/>
      <c r="AT12" s="379"/>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307"/>
      <c r="C13" s="307"/>
      <c r="D13" s="308"/>
      <c r="E13" s="370"/>
      <c r="F13" s="371"/>
      <c r="G13" s="371"/>
      <c r="H13" s="371"/>
      <c r="I13" s="372"/>
      <c r="J13" s="355"/>
      <c r="K13" s="356"/>
      <c r="L13" s="356"/>
      <c r="M13" s="356"/>
      <c r="N13" s="356"/>
      <c r="O13" s="357"/>
      <c r="P13" s="355"/>
      <c r="Q13" s="356"/>
      <c r="R13" s="356"/>
      <c r="S13" s="356"/>
      <c r="T13" s="356"/>
      <c r="U13" s="357"/>
      <c r="V13" s="355"/>
      <c r="W13" s="356"/>
      <c r="X13" s="356"/>
      <c r="Y13" s="356"/>
      <c r="Z13" s="356"/>
      <c r="AA13" s="357"/>
      <c r="AB13" s="355"/>
      <c r="AC13" s="356"/>
      <c r="AD13" s="356"/>
      <c r="AE13" s="356"/>
      <c r="AF13" s="356"/>
      <c r="AG13" s="357"/>
      <c r="AH13" s="349"/>
      <c r="AI13" s="350"/>
      <c r="AJ13" s="350"/>
      <c r="AK13" s="350"/>
      <c r="AL13" s="350"/>
      <c r="AM13" s="351"/>
      <c r="AN13" s="80"/>
      <c r="AO13" s="380"/>
      <c r="AP13" s="381"/>
      <c r="AQ13" s="381"/>
      <c r="AR13" s="381"/>
      <c r="AS13" s="381"/>
      <c r="AT13" s="382"/>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307"/>
      <c r="C14" s="307"/>
      <c r="D14" s="308"/>
      <c r="E14" s="364" t="s">
        <v>115</v>
      </c>
      <c r="F14" s="365"/>
      <c r="G14" s="365"/>
      <c r="H14" s="365"/>
      <c r="I14" s="365"/>
      <c r="J14" s="343" t="str">
        <f>IF(AND('Mapa final'!$H$10="Alta",'Mapa final'!$L$10="Leve"),CONCATENATE("R",'Mapa final'!$A$10),"")</f>
        <v/>
      </c>
      <c r="K14" s="344"/>
      <c r="L14" s="344" t="str">
        <f>IF(AND('Mapa final'!$H$16="Alta",'Mapa final'!$L$16="Leve"),CONCATENATE("R",'Mapa final'!$A$16),"")</f>
        <v/>
      </c>
      <c r="M14" s="344"/>
      <c r="N14" s="344" t="e">
        <f>IF(AND('Mapa final'!#REF!="Alta",'Mapa final'!#REF!="Leve"),CONCATENATE("R",'Mapa final'!#REF!),"")</f>
        <v>#REF!</v>
      </c>
      <c r="O14" s="345"/>
      <c r="P14" s="343" t="str">
        <f>IF(AND('Mapa final'!$H$10="Alta",'Mapa final'!$L$10="Menor"),CONCATENATE("R",'Mapa final'!$A$10),"")</f>
        <v/>
      </c>
      <c r="Q14" s="344"/>
      <c r="R14" s="344" t="str">
        <f>IF(AND('Mapa final'!$H$16="Alta",'Mapa final'!$L$16="Menor"),CONCATENATE("R",'Mapa final'!$A$16),"")</f>
        <v/>
      </c>
      <c r="S14" s="344"/>
      <c r="T14" s="344" t="e">
        <f>IF(AND('Mapa final'!#REF!="Alta",'Mapa final'!#REF!="Menor"),CONCATENATE("R",'Mapa final'!#REF!),"")</f>
        <v>#REF!</v>
      </c>
      <c r="U14" s="345"/>
      <c r="V14" s="361" t="str">
        <f>IF(AND('Mapa final'!$H$10="Alta",'Mapa final'!$L$10="Moderado"),CONCATENATE("R",'Mapa final'!$A$10),"")</f>
        <v/>
      </c>
      <c r="W14" s="362"/>
      <c r="X14" s="362" t="str">
        <f>IF(AND('Mapa final'!$H$16="Alta",'Mapa final'!$L$16="Moderado"),CONCATENATE("R",'Mapa final'!$A$16),"")</f>
        <v/>
      </c>
      <c r="Y14" s="362"/>
      <c r="Z14" s="362" t="e">
        <f>IF(AND('Mapa final'!#REF!="Alta",'Mapa final'!#REF!="Moderado"),CONCATENATE("R",'Mapa final'!#REF!),"")</f>
        <v>#REF!</v>
      </c>
      <c r="AA14" s="363"/>
      <c r="AB14" s="361" t="str">
        <f>IF(AND('Mapa final'!$H$10="Alta",'Mapa final'!$L$10="Mayor"),CONCATENATE("R",'Mapa final'!$A$10),"")</f>
        <v/>
      </c>
      <c r="AC14" s="362"/>
      <c r="AD14" s="362" t="str">
        <f>IF(AND('Mapa final'!$H$16="Alta",'Mapa final'!$L$16="Mayor"),CONCATENATE("R",'Mapa final'!$A$16),"")</f>
        <v/>
      </c>
      <c r="AE14" s="362"/>
      <c r="AF14" s="362" t="e">
        <f>IF(AND('Mapa final'!#REF!="Alta",'Mapa final'!#REF!="Mayor"),CONCATENATE("R",'Mapa final'!#REF!),"")</f>
        <v>#REF!</v>
      </c>
      <c r="AG14" s="363"/>
      <c r="AH14" s="352" t="str">
        <f>IF(AND('Mapa final'!$H$10="Alta",'Mapa final'!$L$10="Catastrófico"),CONCATENATE("R",'Mapa final'!$A$10),"")</f>
        <v/>
      </c>
      <c r="AI14" s="353"/>
      <c r="AJ14" s="353" t="str">
        <f>IF(AND('Mapa final'!$H$16="Alta",'Mapa final'!$L$16="Catastrófico"),CONCATENATE("R",'Mapa final'!$A$16),"")</f>
        <v/>
      </c>
      <c r="AK14" s="353"/>
      <c r="AL14" s="353" t="e">
        <f>IF(AND('Mapa final'!#REF!="Alta",'Mapa final'!#REF!="Catastrófico"),CONCATENATE("R",'Mapa final'!#REF!),"")</f>
        <v>#REF!</v>
      </c>
      <c r="AM14" s="354"/>
      <c r="AN14" s="80"/>
      <c r="AO14" s="383" t="s">
        <v>80</v>
      </c>
      <c r="AP14" s="384"/>
      <c r="AQ14" s="384"/>
      <c r="AR14" s="384"/>
      <c r="AS14" s="384"/>
      <c r="AT14" s="385"/>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307"/>
      <c r="C15" s="307"/>
      <c r="D15" s="308"/>
      <c r="E15" s="367"/>
      <c r="F15" s="368"/>
      <c r="G15" s="368"/>
      <c r="H15" s="368"/>
      <c r="I15" s="368"/>
      <c r="J15" s="337"/>
      <c r="K15" s="338"/>
      <c r="L15" s="338"/>
      <c r="M15" s="338"/>
      <c r="N15" s="338"/>
      <c r="O15" s="339"/>
      <c r="P15" s="337"/>
      <c r="Q15" s="338"/>
      <c r="R15" s="338"/>
      <c r="S15" s="338"/>
      <c r="T15" s="338"/>
      <c r="U15" s="339"/>
      <c r="V15" s="355"/>
      <c r="W15" s="356"/>
      <c r="X15" s="356"/>
      <c r="Y15" s="356"/>
      <c r="Z15" s="356"/>
      <c r="AA15" s="357"/>
      <c r="AB15" s="355"/>
      <c r="AC15" s="356"/>
      <c r="AD15" s="356"/>
      <c r="AE15" s="356"/>
      <c r="AF15" s="356"/>
      <c r="AG15" s="357"/>
      <c r="AH15" s="346"/>
      <c r="AI15" s="347"/>
      <c r="AJ15" s="347"/>
      <c r="AK15" s="347"/>
      <c r="AL15" s="347"/>
      <c r="AM15" s="348"/>
      <c r="AN15" s="80"/>
      <c r="AO15" s="386"/>
      <c r="AP15" s="387"/>
      <c r="AQ15" s="387"/>
      <c r="AR15" s="387"/>
      <c r="AS15" s="387"/>
      <c r="AT15" s="388"/>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307"/>
      <c r="C16" s="307"/>
      <c r="D16" s="308"/>
      <c r="E16" s="367"/>
      <c r="F16" s="368"/>
      <c r="G16" s="368"/>
      <c r="H16" s="368"/>
      <c r="I16" s="368"/>
      <c r="J16" s="337" t="str">
        <f>IF(AND('Mapa final'!$H$19="Alta",'Mapa final'!$L$19="Leve"),CONCATENATE("R",'Mapa final'!$A$19),"")</f>
        <v/>
      </c>
      <c r="K16" s="338"/>
      <c r="L16" s="338" t="str">
        <f>IF(AND('Mapa final'!$H$20="Alta",'Mapa final'!$L$20="Leve"),CONCATENATE("R",'Mapa final'!$A$20),"")</f>
        <v/>
      </c>
      <c r="M16" s="338"/>
      <c r="N16" s="338" t="str">
        <f>IF(AND('Mapa final'!$H$26="Alta",'Mapa final'!$L$26="Leve"),CONCATENATE("R",'Mapa final'!$A$26),"")</f>
        <v/>
      </c>
      <c r="O16" s="339"/>
      <c r="P16" s="337" t="str">
        <f>IF(AND('Mapa final'!$H$19="Alta",'Mapa final'!$L$19="Menor"),CONCATENATE("R",'Mapa final'!$A$19),"")</f>
        <v/>
      </c>
      <c r="Q16" s="338"/>
      <c r="R16" s="338" t="str">
        <f>IF(AND('Mapa final'!$H$20="Alta",'Mapa final'!$L$20="Menor"),CONCATENATE("R",'Mapa final'!$A$20),"")</f>
        <v/>
      </c>
      <c r="S16" s="338"/>
      <c r="T16" s="338" t="str">
        <f>IF(AND('Mapa final'!$H$26="Alta",'Mapa final'!$L$26="Menor"),CONCATENATE("R",'Mapa final'!$A$26),"")</f>
        <v/>
      </c>
      <c r="U16" s="339"/>
      <c r="V16" s="355" t="str">
        <f>IF(AND('Mapa final'!$H$19="Alta",'Mapa final'!$L$19="Moderado"),CONCATENATE("R",'Mapa final'!$A$19),"")</f>
        <v/>
      </c>
      <c r="W16" s="356"/>
      <c r="X16" s="356" t="str">
        <f>IF(AND('Mapa final'!$H$20="Alta",'Mapa final'!$L$20="Moderado"),CONCATENATE("R",'Mapa final'!$A$20),"")</f>
        <v/>
      </c>
      <c r="Y16" s="356"/>
      <c r="Z16" s="356" t="str">
        <f>IF(AND('Mapa final'!$H$26="Alta",'Mapa final'!$L$26="Moderado"),CONCATENATE("R",'Mapa final'!$A$26),"")</f>
        <v/>
      </c>
      <c r="AA16" s="357"/>
      <c r="AB16" s="355" t="str">
        <f>IF(AND('Mapa final'!$H$19="Alta",'Mapa final'!$L$19="Mayor"),CONCATENATE("R",'Mapa final'!$A$19),"")</f>
        <v/>
      </c>
      <c r="AC16" s="356"/>
      <c r="AD16" s="356" t="str">
        <f>IF(AND('Mapa final'!$H$20="Alta",'Mapa final'!$L$20="Mayor"),CONCATENATE("R",'Mapa final'!$A$20),"")</f>
        <v/>
      </c>
      <c r="AE16" s="356"/>
      <c r="AF16" s="356" t="str">
        <f>IF(AND('Mapa final'!$H$26="Alta",'Mapa final'!$L$26="Mayor"),CONCATENATE("R",'Mapa final'!$A$26),"")</f>
        <v/>
      </c>
      <c r="AG16" s="357"/>
      <c r="AH16" s="346" t="str">
        <f>IF(AND('Mapa final'!$H$19="Alta",'Mapa final'!$L$19="Catastrófico"),CONCATENATE("R",'Mapa final'!$A$19),"")</f>
        <v/>
      </c>
      <c r="AI16" s="347"/>
      <c r="AJ16" s="347" t="str">
        <f>IF(AND('Mapa final'!$H$20="Alta",'Mapa final'!$L$20="Catastrófico"),CONCATENATE("R",'Mapa final'!$A$20),"")</f>
        <v/>
      </c>
      <c r="AK16" s="347"/>
      <c r="AL16" s="347" t="str">
        <f>IF(AND('Mapa final'!$H$26="Alta",'Mapa final'!$L$26="Catastrófico"),CONCATENATE("R",'Mapa final'!$A$26),"")</f>
        <v/>
      </c>
      <c r="AM16" s="348"/>
      <c r="AN16" s="80"/>
      <c r="AO16" s="386"/>
      <c r="AP16" s="387"/>
      <c r="AQ16" s="387"/>
      <c r="AR16" s="387"/>
      <c r="AS16" s="387"/>
      <c r="AT16" s="388"/>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307"/>
      <c r="C17" s="307"/>
      <c r="D17" s="308"/>
      <c r="E17" s="367"/>
      <c r="F17" s="368"/>
      <c r="G17" s="368"/>
      <c r="H17" s="368"/>
      <c r="I17" s="368"/>
      <c r="J17" s="337"/>
      <c r="K17" s="338"/>
      <c r="L17" s="338"/>
      <c r="M17" s="338"/>
      <c r="N17" s="338"/>
      <c r="O17" s="339"/>
      <c r="P17" s="337"/>
      <c r="Q17" s="338"/>
      <c r="R17" s="338"/>
      <c r="S17" s="338"/>
      <c r="T17" s="338"/>
      <c r="U17" s="339"/>
      <c r="V17" s="355"/>
      <c r="W17" s="356"/>
      <c r="X17" s="356"/>
      <c r="Y17" s="356"/>
      <c r="Z17" s="356"/>
      <c r="AA17" s="357"/>
      <c r="AB17" s="355"/>
      <c r="AC17" s="356"/>
      <c r="AD17" s="356"/>
      <c r="AE17" s="356"/>
      <c r="AF17" s="356"/>
      <c r="AG17" s="357"/>
      <c r="AH17" s="346"/>
      <c r="AI17" s="347"/>
      <c r="AJ17" s="347"/>
      <c r="AK17" s="347"/>
      <c r="AL17" s="347"/>
      <c r="AM17" s="348"/>
      <c r="AN17" s="80"/>
      <c r="AO17" s="386"/>
      <c r="AP17" s="387"/>
      <c r="AQ17" s="387"/>
      <c r="AR17" s="387"/>
      <c r="AS17" s="387"/>
      <c r="AT17" s="388"/>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307"/>
      <c r="C18" s="307"/>
      <c r="D18" s="308"/>
      <c r="E18" s="367"/>
      <c r="F18" s="368"/>
      <c r="G18" s="368"/>
      <c r="H18" s="368"/>
      <c r="I18" s="368"/>
      <c r="J18" s="337" t="str">
        <f>IF(AND('Mapa final'!$H$29="Alta",'Mapa final'!$L$29="Leve"),CONCATENATE("R",'Mapa final'!$A$29),"")</f>
        <v/>
      </c>
      <c r="K18" s="338"/>
      <c r="L18" s="338" t="str">
        <f>IF(AND('Mapa final'!$H$31="Alta",'Mapa final'!$L$31="Leve"),CONCATENATE("R",'Mapa final'!$A$31),"")</f>
        <v/>
      </c>
      <c r="M18" s="338"/>
      <c r="N18" s="338" t="str">
        <f>IF(AND('Mapa final'!$H$32="Alta",'Mapa final'!$L$32="Leve"),CONCATENATE("R",'Mapa final'!$A$32),"")</f>
        <v/>
      </c>
      <c r="O18" s="339"/>
      <c r="P18" s="337" t="str">
        <f>IF(AND('Mapa final'!$H$29="Alta",'Mapa final'!$L$29="Menor"),CONCATENATE("R",'Mapa final'!$A$29),"")</f>
        <v/>
      </c>
      <c r="Q18" s="338"/>
      <c r="R18" s="338" t="str">
        <f>IF(AND('Mapa final'!$H$31="Alta",'Mapa final'!$L$31="Menor"),CONCATENATE("R",'Mapa final'!$A$31),"")</f>
        <v/>
      </c>
      <c r="S18" s="338"/>
      <c r="T18" s="338" t="str">
        <f>IF(AND('Mapa final'!$H$32="Alta",'Mapa final'!$L$32="Menor"),CONCATENATE("R",'Mapa final'!$A$32),"")</f>
        <v/>
      </c>
      <c r="U18" s="339"/>
      <c r="V18" s="355" t="str">
        <f>IF(AND('Mapa final'!$H$29="Alta",'Mapa final'!$L$29="Moderado"),CONCATENATE("R",'Mapa final'!$A$29),"")</f>
        <v/>
      </c>
      <c r="W18" s="356"/>
      <c r="X18" s="356" t="str">
        <f>IF(AND('Mapa final'!$H$31="Alta",'Mapa final'!$L$31="Moderado"),CONCATENATE("R",'Mapa final'!$A$31),"")</f>
        <v/>
      </c>
      <c r="Y18" s="356"/>
      <c r="Z18" s="356" t="str">
        <f>IF(AND('Mapa final'!$H$32="Alta",'Mapa final'!$L$32="Moderado"),CONCATENATE("R",'Mapa final'!$A$32),"")</f>
        <v/>
      </c>
      <c r="AA18" s="357"/>
      <c r="AB18" s="355" t="str">
        <f>IF(AND('Mapa final'!$H$29="Alta",'Mapa final'!$L$29="Mayor"),CONCATENATE("R",'Mapa final'!$A$29),"")</f>
        <v/>
      </c>
      <c r="AC18" s="356"/>
      <c r="AD18" s="356" t="str">
        <f>IF(AND('Mapa final'!$H$31="Alta",'Mapa final'!$L$31="Mayor"),CONCATENATE("R",'Mapa final'!$A$31),"")</f>
        <v/>
      </c>
      <c r="AE18" s="356"/>
      <c r="AF18" s="356" t="str">
        <f>IF(AND('Mapa final'!$H$32="Alta",'Mapa final'!$L$32="Mayor"),CONCATENATE("R",'Mapa final'!$A$32),"")</f>
        <v/>
      </c>
      <c r="AG18" s="357"/>
      <c r="AH18" s="346" t="str">
        <f>IF(AND('Mapa final'!$H$29="Alta",'Mapa final'!$L$29="Catastrófico"),CONCATENATE("R",'Mapa final'!$A$29),"")</f>
        <v/>
      </c>
      <c r="AI18" s="347"/>
      <c r="AJ18" s="347" t="str">
        <f>IF(AND('Mapa final'!$H$31="Alta",'Mapa final'!$L$31="Catastrófico"),CONCATENATE("R",'Mapa final'!$A$31),"")</f>
        <v/>
      </c>
      <c r="AK18" s="347"/>
      <c r="AL18" s="347" t="str">
        <f>IF(AND('Mapa final'!$H$32="Alta",'Mapa final'!$L$32="Catastrófico"),CONCATENATE("R",'Mapa final'!$A$32),"")</f>
        <v/>
      </c>
      <c r="AM18" s="348"/>
      <c r="AN18" s="80"/>
      <c r="AO18" s="386"/>
      <c r="AP18" s="387"/>
      <c r="AQ18" s="387"/>
      <c r="AR18" s="387"/>
      <c r="AS18" s="387"/>
      <c r="AT18" s="388"/>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307"/>
      <c r="C19" s="307"/>
      <c r="D19" s="308"/>
      <c r="E19" s="367"/>
      <c r="F19" s="368"/>
      <c r="G19" s="368"/>
      <c r="H19" s="368"/>
      <c r="I19" s="368"/>
      <c r="J19" s="337"/>
      <c r="K19" s="338"/>
      <c r="L19" s="338"/>
      <c r="M19" s="338"/>
      <c r="N19" s="338"/>
      <c r="O19" s="339"/>
      <c r="P19" s="337"/>
      <c r="Q19" s="338"/>
      <c r="R19" s="338"/>
      <c r="S19" s="338"/>
      <c r="T19" s="338"/>
      <c r="U19" s="339"/>
      <c r="V19" s="355"/>
      <c r="W19" s="356"/>
      <c r="X19" s="356"/>
      <c r="Y19" s="356"/>
      <c r="Z19" s="356"/>
      <c r="AA19" s="357"/>
      <c r="AB19" s="355"/>
      <c r="AC19" s="356"/>
      <c r="AD19" s="356"/>
      <c r="AE19" s="356"/>
      <c r="AF19" s="356"/>
      <c r="AG19" s="357"/>
      <c r="AH19" s="346"/>
      <c r="AI19" s="347"/>
      <c r="AJ19" s="347"/>
      <c r="AK19" s="347"/>
      <c r="AL19" s="347"/>
      <c r="AM19" s="348"/>
      <c r="AN19" s="80"/>
      <c r="AO19" s="386"/>
      <c r="AP19" s="387"/>
      <c r="AQ19" s="387"/>
      <c r="AR19" s="387"/>
      <c r="AS19" s="387"/>
      <c r="AT19" s="388"/>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307"/>
      <c r="C20" s="307"/>
      <c r="D20" s="308"/>
      <c r="E20" s="367"/>
      <c r="F20" s="368"/>
      <c r="G20" s="368"/>
      <c r="H20" s="368"/>
      <c r="I20" s="368"/>
      <c r="J20" s="337" t="str">
        <f>IF(AND('Mapa final'!$H$33="Alta",'Mapa final'!$L$33="Leve"),CONCATENATE("R",'Mapa final'!$A$33),"")</f>
        <v/>
      </c>
      <c r="K20" s="338"/>
      <c r="L20" s="338" t="str">
        <f>IF(AND('Mapa final'!$H$39="Alta",'Mapa final'!$L$39="Leve"),CONCATENATE("R",'Mapa final'!$A$39),"")</f>
        <v/>
      </c>
      <c r="M20" s="338"/>
      <c r="N20" s="338" t="str">
        <f>IF(AND('Mapa final'!$H$45="Alta",'Mapa final'!$L$45="Leve"),CONCATENATE("R",'Mapa final'!$A$45),"")</f>
        <v/>
      </c>
      <c r="O20" s="339"/>
      <c r="P20" s="337" t="str">
        <f>IF(AND('Mapa final'!$H$33="Alta",'Mapa final'!$L$33="Menor"),CONCATENATE("R",'Mapa final'!$A$33),"")</f>
        <v/>
      </c>
      <c r="Q20" s="338"/>
      <c r="R20" s="338" t="str">
        <f>IF(AND('Mapa final'!$H$39="Alta",'Mapa final'!$L$39="Menor"),CONCATENATE("R",'Mapa final'!$A$39),"")</f>
        <v/>
      </c>
      <c r="S20" s="338"/>
      <c r="T20" s="338" t="str">
        <f>IF(AND('Mapa final'!$H$45="Alta",'Mapa final'!$L$45="Menor"),CONCATENATE("R",'Mapa final'!$A$45),"")</f>
        <v/>
      </c>
      <c r="U20" s="339"/>
      <c r="V20" s="355" t="str">
        <f>IF(AND('Mapa final'!$H$33="Alta",'Mapa final'!$L$33="Moderado"),CONCATENATE("R",'Mapa final'!$A$33),"")</f>
        <v/>
      </c>
      <c r="W20" s="356"/>
      <c r="X20" s="356" t="str">
        <f>IF(AND('Mapa final'!$H$39="Alta",'Mapa final'!$L$39="Moderado"),CONCATENATE("R",'Mapa final'!$A$39),"")</f>
        <v/>
      </c>
      <c r="Y20" s="356"/>
      <c r="Z20" s="356" t="str">
        <f>IF(AND('Mapa final'!$H$45="Alta",'Mapa final'!$L$45="Moderado"),CONCATENATE("R",'Mapa final'!$A$45),"")</f>
        <v/>
      </c>
      <c r="AA20" s="357"/>
      <c r="AB20" s="355" t="str">
        <f>IF(AND('Mapa final'!$H$33="Alta",'Mapa final'!$L$33="Mayor"),CONCATENATE("R",'Mapa final'!$A$33),"")</f>
        <v/>
      </c>
      <c r="AC20" s="356"/>
      <c r="AD20" s="356" t="str">
        <f>IF(AND('Mapa final'!$H$39="Alta",'Mapa final'!$L$39="Mayor"),CONCATENATE("R",'Mapa final'!$A$39),"")</f>
        <v/>
      </c>
      <c r="AE20" s="356"/>
      <c r="AF20" s="356" t="str">
        <f>IF(AND('Mapa final'!$H$45="Alta",'Mapa final'!$L$45="Mayor"),CONCATENATE("R",'Mapa final'!$A$45),"")</f>
        <v/>
      </c>
      <c r="AG20" s="357"/>
      <c r="AH20" s="346" t="str">
        <f>IF(AND('Mapa final'!$H$33="Alta",'Mapa final'!$L$33="Catastrófico"),CONCATENATE("R",'Mapa final'!$A$33),"")</f>
        <v/>
      </c>
      <c r="AI20" s="347"/>
      <c r="AJ20" s="347" t="str">
        <f>IF(AND('Mapa final'!$H$39="Alta",'Mapa final'!$L$39="Catastrófico"),CONCATENATE("R",'Mapa final'!$A$39),"")</f>
        <v/>
      </c>
      <c r="AK20" s="347"/>
      <c r="AL20" s="347" t="str">
        <f>IF(AND('Mapa final'!$H$45="Alta",'Mapa final'!$L$45="Catastrófico"),CONCATENATE("R",'Mapa final'!$A$45),"")</f>
        <v/>
      </c>
      <c r="AM20" s="348"/>
      <c r="AN20" s="80"/>
      <c r="AO20" s="386"/>
      <c r="AP20" s="387"/>
      <c r="AQ20" s="387"/>
      <c r="AR20" s="387"/>
      <c r="AS20" s="387"/>
      <c r="AT20" s="388"/>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307"/>
      <c r="C21" s="307"/>
      <c r="D21" s="308"/>
      <c r="E21" s="370"/>
      <c r="F21" s="371"/>
      <c r="G21" s="371"/>
      <c r="H21" s="371"/>
      <c r="I21" s="371"/>
      <c r="J21" s="340"/>
      <c r="K21" s="341"/>
      <c r="L21" s="341"/>
      <c r="M21" s="341"/>
      <c r="N21" s="341"/>
      <c r="O21" s="342"/>
      <c r="P21" s="340"/>
      <c r="Q21" s="341"/>
      <c r="R21" s="341"/>
      <c r="S21" s="341"/>
      <c r="T21" s="341"/>
      <c r="U21" s="342"/>
      <c r="V21" s="358"/>
      <c r="W21" s="359"/>
      <c r="X21" s="359"/>
      <c r="Y21" s="359"/>
      <c r="Z21" s="359"/>
      <c r="AA21" s="360"/>
      <c r="AB21" s="358"/>
      <c r="AC21" s="359"/>
      <c r="AD21" s="359"/>
      <c r="AE21" s="359"/>
      <c r="AF21" s="359"/>
      <c r="AG21" s="360"/>
      <c r="AH21" s="349"/>
      <c r="AI21" s="350"/>
      <c r="AJ21" s="350"/>
      <c r="AK21" s="350"/>
      <c r="AL21" s="350"/>
      <c r="AM21" s="351"/>
      <c r="AN21" s="80"/>
      <c r="AO21" s="389"/>
      <c r="AP21" s="390"/>
      <c r="AQ21" s="390"/>
      <c r="AR21" s="390"/>
      <c r="AS21" s="390"/>
      <c r="AT21" s="391"/>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307"/>
      <c r="C22" s="307"/>
      <c r="D22" s="308"/>
      <c r="E22" s="364" t="s">
        <v>117</v>
      </c>
      <c r="F22" s="365"/>
      <c r="G22" s="365"/>
      <c r="H22" s="365"/>
      <c r="I22" s="366"/>
      <c r="J22" s="343" t="str">
        <f>IF(AND('Mapa final'!$H$10="Media",'Mapa final'!$L$10="Leve"),CONCATENATE("R",'Mapa final'!$A$10),"")</f>
        <v/>
      </c>
      <c r="K22" s="344"/>
      <c r="L22" s="344" t="str">
        <f>IF(AND('Mapa final'!$H$16="Media",'Mapa final'!$L$16="Leve"),CONCATENATE("R",'Mapa final'!$A$16),"")</f>
        <v/>
      </c>
      <c r="M22" s="344"/>
      <c r="N22" s="344" t="e">
        <f>IF(AND('Mapa final'!#REF!="Media",'Mapa final'!#REF!="Leve"),CONCATENATE("R",'Mapa final'!#REF!),"")</f>
        <v>#REF!</v>
      </c>
      <c r="O22" s="345"/>
      <c r="P22" s="343" t="str">
        <f>IF(AND('Mapa final'!$H$10="Media",'Mapa final'!$L$10="Menor"),CONCATENATE("R",'Mapa final'!$A$10),"")</f>
        <v/>
      </c>
      <c r="Q22" s="344"/>
      <c r="R22" s="344" t="str">
        <f>IF(AND('Mapa final'!$H$16="Media",'Mapa final'!$L$16="Menor"),CONCATENATE("R",'Mapa final'!$A$16),"")</f>
        <v>R2</v>
      </c>
      <c r="S22" s="344"/>
      <c r="T22" s="344" t="e">
        <f>IF(AND('Mapa final'!#REF!="Media",'Mapa final'!#REF!="Menor"),CONCATENATE("R",'Mapa final'!#REF!),"")</f>
        <v>#REF!</v>
      </c>
      <c r="U22" s="345"/>
      <c r="V22" s="343" t="str">
        <f>IF(AND('Mapa final'!$H$10="Media",'Mapa final'!$L$10="Moderado"),CONCATENATE("R",'Mapa final'!$A$10),"")</f>
        <v/>
      </c>
      <c r="W22" s="344"/>
      <c r="X22" s="344" t="str">
        <f>IF(AND('Mapa final'!$H$16="Media",'Mapa final'!$L$16="Moderado"),CONCATENATE("R",'Mapa final'!$A$16),"")</f>
        <v/>
      </c>
      <c r="Y22" s="344"/>
      <c r="Z22" s="344" t="e">
        <f>IF(AND('Mapa final'!#REF!="Media",'Mapa final'!#REF!="Moderado"),CONCATENATE("R",'Mapa final'!#REF!),"")</f>
        <v>#REF!</v>
      </c>
      <c r="AA22" s="345"/>
      <c r="AB22" s="361" t="str">
        <f>IF(AND('Mapa final'!$H$10="Media",'Mapa final'!$L$10="Mayor"),CONCATENATE("R",'Mapa final'!$A$10),"")</f>
        <v/>
      </c>
      <c r="AC22" s="362"/>
      <c r="AD22" s="362" t="str">
        <f>IF(AND('Mapa final'!$H$16="Media",'Mapa final'!$L$16="Mayor"),CONCATENATE("R",'Mapa final'!$A$16),"")</f>
        <v/>
      </c>
      <c r="AE22" s="362"/>
      <c r="AF22" s="362" t="e">
        <f>IF(AND('Mapa final'!#REF!="Media",'Mapa final'!#REF!="Mayor"),CONCATENATE("R",'Mapa final'!#REF!),"")</f>
        <v>#REF!</v>
      </c>
      <c r="AG22" s="363"/>
      <c r="AH22" s="352" t="str">
        <f>IF(AND('Mapa final'!$H$10="Media",'Mapa final'!$L$10="Catastrófico"),CONCATENATE("R",'Mapa final'!$A$10),"")</f>
        <v/>
      </c>
      <c r="AI22" s="353"/>
      <c r="AJ22" s="353" t="str">
        <f>IF(AND('Mapa final'!$H$16="Media",'Mapa final'!$L$16="Catastrófico"),CONCATENATE("R",'Mapa final'!$A$16),"")</f>
        <v/>
      </c>
      <c r="AK22" s="353"/>
      <c r="AL22" s="353" t="e">
        <f>IF(AND('Mapa final'!#REF!="Media",'Mapa final'!#REF!="Catastrófico"),CONCATENATE("R",'Mapa final'!#REF!),"")</f>
        <v>#REF!</v>
      </c>
      <c r="AM22" s="354"/>
      <c r="AN22" s="80"/>
      <c r="AO22" s="392" t="s">
        <v>81</v>
      </c>
      <c r="AP22" s="393"/>
      <c r="AQ22" s="393"/>
      <c r="AR22" s="393"/>
      <c r="AS22" s="393"/>
      <c r="AT22" s="394"/>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307"/>
      <c r="C23" s="307"/>
      <c r="D23" s="308"/>
      <c r="E23" s="367"/>
      <c r="F23" s="368"/>
      <c r="G23" s="368"/>
      <c r="H23" s="368"/>
      <c r="I23" s="369"/>
      <c r="J23" s="337"/>
      <c r="K23" s="338"/>
      <c r="L23" s="338"/>
      <c r="M23" s="338"/>
      <c r="N23" s="338"/>
      <c r="O23" s="339"/>
      <c r="P23" s="337"/>
      <c r="Q23" s="338"/>
      <c r="R23" s="338"/>
      <c r="S23" s="338"/>
      <c r="T23" s="338"/>
      <c r="U23" s="339"/>
      <c r="V23" s="337"/>
      <c r="W23" s="338"/>
      <c r="X23" s="338"/>
      <c r="Y23" s="338"/>
      <c r="Z23" s="338"/>
      <c r="AA23" s="339"/>
      <c r="AB23" s="355"/>
      <c r="AC23" s="356"/>
      <c r="AD23" s="356"/>
      <c r="AE23" s="356"/>
      <c r="AF23" s="356"/>
      <c r="AG23" s="357"/>
      <c r="AH23" s="346"/>
      <c r="AI23" s="347"/>
      <c r="AJ23" s="347"/>
      <c r="AK23" s="347"/>
      <c r="AL23" s="347"/>
      <c r="AM23" s="348"/>
      <c r="AN23" s="80"/>
      <c r="AO23" s="395"/>
      <c r="AP23" s="396"/>
      <c r="AQ23" s="396"/>
      <c r="AR23" s="396"/>
      <c r="AS23" s="396"/>
      <c r="AT23" s="397"/>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307"/>
      <c r="C24" s="307"/>
      <c r="D24" s="308"/>
      <c r="E24" s="367"/>
      <c r="F24" s="368"/>
      <c r="G24" s="368"/>
      <c r="H24" s="368"/>
      <c r="I24" s="369"/>
      <c r="J24" s="337" t="str">
        <f>IF(AND('Mapa final'!$H$19="Media",'Mapa final'!$L$19="Leve"),CONCATENATE("R",'Mapa final'!$A$19),"")</f>
        <v/>
      </c>
      <c r="K24" s="338"/>
      <c r="L24" s="338" t="str">
        <f>IF(AND('Mapa final'!$H$20="Media",'Mapa final'!$L$20="Leve"),CONCATENATE("R",'Mapa final'!$A$20),"")</f>
        <v/>
      </c>
      <c r="M24" s="338"/>
      <c r="N24" s="338" t="str">
        <f>IF(AND('Mapa final'!$H$26="Media",'Mapa final'!$L$26="Leve"),CONCATENATE("R",'Mapa final'!$A$26),"")</f>
        <v/>
      </c>
      <c r="O24" s="339"/>
      <c r="P24" s="337" t="str">
        <f>IF(AND('Mapa final'!$H$19="Media",'Mapa final'!$L$19="Menor"),CONCATENATE("R",'Mapa final'!$A$19),"")</f>
        <v/>
      </c>
      <c r="Q24" s="338"/>
      <c r="R24" s="338" t="str">
        <f>IF(AND('Mapa final'!$H$20="Media",'Mapa final'!$L$20="Menor"),CONCATENATE("R",'Mapa final'!$A$20),"")</f>
        <v/>
      </c>
      <c r="S24" s="338"/>
      <c r="T24" s="338" t="str">
        <f>IF(AND('Mapa final'!$H$26="Media",'Mapa final'!$L$26="Menor"),CONCATENATE("R",'Mapa final'!$A$26),"")</f>
        <v/>
      </c>
      <c r="U24" s="339"/>
      <c r="V24" s="337" t="str">
        <f>IF(AND('Mapa final'!$H$19="Media",'Mapa final'!$L$19="Moderado"),CONCATENATE("R",'Mapa final'!$A$19),"")</f>
        <v/>
      </c>
      <c r="W24" s="338"/>
      <c r="X24" s="338" t="str">
        <f>IF(AND('Mapa final'!$H$20="Media",'Mapa final'!$L$20="Moderado"),CONCATENATE("R",'Mapa final'!$A$20),"")</f>
        <v/>
      </c>
      <c r="Y24" s="338"/>
      <c r="Z24" s="338" t="str">
        <f>IF(AND('Mapa final'!$H$26="Media",'Mapa final'!$L$26="Moderado"),CONCATENATE("R",'Mapa final'!$A$26),"")</f>
        <v/>
      </c>
      <c r="AA24" s="339"/>
      <c r="AB24" s="355" t="str">
        <f>IF(AND('Mapa final'!$H$19="Media",'Mapa final'!$L$19="Mayor"),CONCATENATE("R",'Mapa final'!$A$19),"")</f>
        <v>R4</v>
      </c>
      <c r="AC24" s="356"/>
      <c r="AD24" s="356" t="str">
        <f>IF(AND('Mapa final'!$H$20="Media",'Mapa final'!$L$20="Mayor"),CONCATENATE("R",'Mapa final'!$A$20),"")</f>
        <v>R5</v>
      </c>
      <c r="AE24" s="356"/>
      <c r="AF24" s="356" t="str">
        <f>IF(AND('Mapa final'!$H$26="Media",'Mapa final'!$L$26="Mayor"),CONCATENATE("R",'Mapa final'!$A$26),"")</f>
        <v>R6</v>
      </c>
      <c r="AG24" s="357"/>
      <c r="AH24" s="346" t="str">
        <f>IF(AND('Mapa final'!$H$19="Media",'Mapa final'!$L$19="Catastrófico"),CONCATENATE("R",'Mapa final'!$A$19),"")</f>
        <v/>
      </c>
      <c r="AI24" s="347"/>
      <c r="AJ24" s="347" t="str">
        <f>IF(AND('Mapa final'!$H$20="Media",'Mapa final'!$L$20="Catastrófico"),CONCATENATE("R",'Mapa final'!$A$20),"")</f>
        <v/>
      </c>
      <c r="AK24" s="347"/>
      <c r="AL24" s="347" t="str">
        <f>IF(AND('Mapa final'!$H$26="Media",'Mapa final'!$L$26="Catastrófico"),CONCATENATE("R",'Mapa final'!$A$26),"")</f>
        <v/>
      </c>
      <c r="AM24" s="348"/>
      <c r="AN24" s="80"/>
      <c r="AO24" s="395"/>
      <c r="AP24" s="396"/>
      <c r="AQ24" s="396"/>
      <c r="AR24" s="396"/>
      <c r="AS24" s="396"/>
      <c r="AT24" s="397"/>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307"/>
      <c r="C25" s="307"/>
      <c r="D25" s="308"/>
      <c r="E25" s="367"/>
      <c r="F25" s="368"/>
      <c r="G25" s="368"/>
      <c r="H25" s="368"/>
      <c r="I25" s="369"/>
      <c r="J25" s="337"/>
      <c r="K25" s="338"/>
      <c r="L25" s="338"/>
      <c r="M25" s="338"/>
      <c r="N25" s="338"/>
      <c r="O25" s="339"/>
      <c r="P25" s="337"/>
      <c r="Q25" s="338"/>
      <c r="R25" s="338"/>
      <c r="S25" s="338"/>
      <c r="T25" s="338"/>
      <c r="U25" s="339"/>
      <c r="V25" s="337"/>
      <c r="W25" s="338"/>
      <c r="X25" s="338"/>
      <c r="Y25" s="338"/>
      <c r="Z25" s="338"/>
      <c r="AA25" s="339"/>
      <c r="AB25" s="355"/>
      <c r="AC25" s="356"/>
      <c r="AD25" s="356"/>
      <c r="AE25" s="356"/>
      <c r="AF25" s="356"/>
      <c r="AG25" s="357"/>
      <c r="AH25" s="346"/>
      <c r="AI25" s="347"/>
      <c r="AJ25" s="347"/>
      <c r="AK25" s="347"/>
      <c r="AL25" s="347"/>
      <c r="AM25" s="348"/>
      <c r="AN25" s="80"/>
      <c r="AO25" s="395"/>
      <c r="AP25" s="396"/>
      <c r="AQ25" s="396"/>
      <c r="AR25" s="396"/>
      <c r="AS25" s="396"/>
      <c r="AT25" s="397"/>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307"/>
      <c r="C26" s="307"/>
      <c r="D26" s="308"/>
      <c r="E26" s="367"/>
      <c r="F26" s="368"/>
      <c r="G26" s="368"/>
      <c r="H26" s="368"/>
      <c r="I26" s="369"/>
      <c r="J26" s="337" t="str">
        <f>IF(AND('Mapa final'!$H$29="Media",'Mapa final'!$L$29="Leve"),CONCATENATE("R",'Mapa final'!$A$29),"")</f>
        <v/>
      </c>
      <c r="K26" s="338"/>
      <c r="L26" s="338" t="str">
        <f>IF(AND('Mapa final'!$H$31="Media",'Mapa final'!$L$31="Leve"),CONCATENATE("R",'Mapa final'!$A$31),"")</f>
        <v/>
      </c>
      <c r="M26" s="338"/>
      <c r="N26" s="338" t="str">
        <f>IF(AND('Mapa final'!$H$32="Media",'Mapa final'!$L$32="Leve"),CONCATENATE("R",'Mapa final'!$A$32),"")</f>
        <v/>
      </c>
      <c r="O26" s="339"/>
      <c r="P26" s="337" t="str">
        <f>IF(AND('Mapa final'!$H$29="Media",'Mapa final'!$L$29="Menor"),CONCATENATE("R",'Mapa final'!$A$29),"")</f>
        <v>R7</v>
      </c>
      <c r="Q26" s="338"/>
      <c r="R26" s="338" t="str">
        <f>IF(AND('Mapa final'!$H$31="Media",'Mapa final'!$L$31="Menor"),CONCATENATE("R",'Mapa final'!$A$31),"")</f>
        <v/>
      </c>
      <c r="S26" s="338"/>
      <c r="T26" s="338" t="str">
        <f>IF(AND('Mapa final'!$H$32="Media",'Mapa final'!$L$32="Menor"),CONCATENATE("R",'Mapa final'!$A$32),"")</f>
        <v/>
      </c>
      <c r="U26" s="339"/>
      <c r="V26" s="337" t="str">
        <f>IF(AND('Mapa final'!$H$29="Media",'Mapa final'!$L$29="Moderado"),CONCATENATE("R",'Mapa final'!$A$29),"")</f>
        <v/>
      </c>
      <c r="W26" s="338"/>
      <c r="X26" s="338" t="str">
        <f>IF(AND('Mapa final'!$H$31="Media",'Mapa final'!$L$31="Moderado"),CONCATENATE("R",'Mapa final'!$A$31),"")</f>
        <v>R8</v>
      </c>
      <c r="Y26" s="338"/>
      <c r="Z26" s="338" t="str">
        <f>IF(AND('Mapa final'!$H$32="Media",'Mapa final'!$L$32="Moderado"),CONCATENATE("R",'Mapa final'!$A$32),"")</f>
        <v>R9</v>
      </c>
      <c r="AA26" s="339"/>
      <c r="AB26" s="355" t="str">
        <f>IF(AND('Mapa final'!$H$29="Media",'Mapa final'!$L$29="Mayor"),CONCATENATE("R",'Mapa final'!$A$29),"")</f>
        <v/>
      </c>
      <c r="AC26" s="356"/>
      <c r="AD26" s="356" t="str">
        <f>IF(AND('Mapa final'!$H$31="Media",'Mapa final'!$L$31="Mayor"),CONCATENATE("R",'Mapa final'!$A$31),"")</f>
        <v/>
      </c>
      <c r="AE26" s="356"/>
      <c r="AF26" s="356" t="str">
        <f>IF(AND('Mapa final'!$H$32="Media",'Mapa final'!$L$32="Mayor"),CONCATENATE("R",'Mapa final'!$A$32),"")</f>
        <v/>
      </c>
      <c r="AG26" s="357"/>
      <c r="AH26" s="346" t="str">
        <f>IF(AND('Mapa final'!$H$29="Media",'Mapa final'!$L$29="Catastrófico"),CONCATENATE("R",'Mapa final'!$A$29),"")</f>
        <v/>
      </c>
      <c r="AI26" s="347"/>
      <c r="AJ26" s="347" t="str">
        <f>IF(AND('Mapa final'!$H$31="Media",'Mapa final'!$L$31="Catastrófico"),CONCATENATE("R",'Mapa final'!$A$31),"")</f>
        <v/>
      </c>
      <c r="AK26" s="347"/>
      <c r="AL26" s="347" t="str">
        <f>IF(AND('Mapa final'!$H$32="Media",'Mapa final'!$L$32="Catastrófico"),CONCATENATE("R",'Mapa final'!$A$32),"")</f>
        <v/>
      </c>
      <c r="AM26" s="348"/>
      <c r="AN26" s="80"/>
      <c r="AO26" s="395"/>
      <c r="AP26" s="396"/>
      <c r="AQ26" s="396"/>
      <c r="AR26" s="396"/>
      <c r="AS26" s="396"/>
      <c r="AT26" s="397"/>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307"/>
      <c r="C27" s="307"/>
      <c r="D27" s="308"/>
      <c r="E27" s="367"/>
      <c r="F27" s="368"/>
      <c r="G27" s="368"/>
      <c r="H27" s="368"/>
      <c r="I27" s="369"/>
      <c r="J27" s="337"/>
      <c r="K27" s="338"/>
      <c r="L27" s="338"/>
      <c r="M27" s="338"/>
      <c r="N27" s="338"/>
      <c r="O27" s="339"/>
      <c r="P27" s="337"/>
      <c r="Q27" s="338"/>
      <c r="R27" s="338"/>
      <c r="S27" s="338"/>
      <c r="T27" s="338"/>
      <c r="U27" s="339"/>
      <c r="V27" s="337"/>
      <c r="W27" s="338"/>
      <c r="X27" s="338"/>
      <c r="Y27" s="338"/>
      <c r="Z27" s="338"/>
      <c r="AA27" s="339"/>
      <c r="AB27" s="355"/>
      <c r="AC27" s="356"/>
      <c r="AD27" s="356"/>
      <c r="AE27" s="356"/>
      <c r="AF27" s="356"/>
      <c r="AG27" s="357"/>
      <c r="AH27" s="346"/>
      <c r="AI27" s="347"/>
      <c r="AJ27" s="347"/>
      <c r="AK27" s="347"/>
      <c r="AL27" s="347"/>
      <c r="AM27" s="348"/>
      <c r="AN27" s="80"/>
      <c r="AO27" s="395"/>
      <c r="AP27" s="396"/>
      <c r="AQ27" s="396"/>
      <c r="AR27" s="396"/>
      <c r="AS27" s="396"/>
      <c r="AT27" s="397"/>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307"/>
      <c r="C28" s="307"/>
      <c r="D28" s="308"/>
      <c r="E28" s="367"/>
      <c r="F28" s="368"/>
      <c r="G28" s="368"/>
      <c r="H28" s="368"/>
      <c r="I28" s="369"/>
      <c r="J28" s="337" t="str">
        <f>IF(AND('Mapa final'!$H$33="Media",'Mapa final'!$L$33="Leve"),CONCATENATE("R",'Mapa final'!$A$33),"")</f>
        <v/>
      </c>
      <c r="K28" s="338"/>
      <c r="L28" s="338" t="str">
        <f>IF(AND('Mapa final'!$H$39="Media",'Mapa final'!$L$39="Leve"),CONCATENATE("R",'Mapa final'!$A$39),"")</f>
        <v/>
      </c>
      <c r="M28" s="338"/>
      <c r="N28" s="338" t="str">
        <f>IF(AND('Mapa final'!$H$45="Media",'Mapa final'!$L$45="Leve"),CONCATENATE("R",'Mapa final'!$A$45),"")</f>
        <v/>
      </c>
      <c r="O28" s="339"/>
      <c r="P28" s="337" t="str">
        <f>IF(AND('Mapa final'!$H$33="Media",'Mapa final'!$L$33="Menor"),CONCATENATE("R",'Mapa final'!$A$33),"")</f>
        <v/>
      </c>
      <c r="Q28" s="338"/>
      <c r="R28" s="338" t="str">
        <f>IF(AND('Mapa final'!$H$39="Media",'Mapa final'!$L$39="Menor"),CONCATENATE("R",'Mapa final'!$A$39),"")</f>
        <v/>
      </c>
      <c r="S28" s="338"/>
      <c r="T28" s="338" t="str">
        <f>IF(AND('Mapa final'!$H$45="Media",'Mapa final'!$L$45="Menor"),CONCATENATE("R",'Mapa final'!$A$45),"")</f>
        <v/>
      </c>
      <c r="U28" s="339"/>
      <c r="V28" s="337" t="str">
        <f>IF(AND('Mapa final'!$H$33="Media",'Mapa final'!$L$33="Moderado"),CONCATENATE("R",'Mapa final'!$A$33),"")</f>
        <v/>
      </c>
      <c r="W28" s="338"/>
      <c r="X28" s="338" t="str">
        <f>IF(AND('Mapa final'!$H$39="Media",'Mapa final'!$L$39="Moderado"),CONCATENATE("R",'Mapa final'!$A$39),"")</f>
        <v/>
      </c>
      <c r="Y28" s="338"/>
      <c r="Z28" s="338" t="str">
        <f>IF(AND('Mapa final'!$H$45="Media",'Mapa final'!$L$45="Moderado"),CONCATENATE("R",'Mapa final'!$A$45),"")</f>
        <v/>
      </c>
      <c r="AA28" s="339"/>
      <c r="AB28" s="355" t="str">
        <f>IF(AND('Mapa final'!$H$33="Media",'Mapa final'!$L$33="Mayor"),CONCATENATE("R",'Mapa final'!$A$33),"")</f>
        <v/>
      </c>
      <c r="AC28" s="356"/>
      <c r="AD28" s="356" t="str">
        <f>IF(AND('Mapa final'!$H$39="Media",'Mapa final'!$L$39="Mayor"),CONCATENATE("R",'Mapa final'!$A$39),"")</f>
        <v/>
      </c>
      <c r="AE28" s="356"/>
      <c r="AF28" s="356" t="str">
        <f>IF(AND('Mapa final'!$H$45="Media",'Mapa final'!$L$45="Mayor"),CONCATENATE("R",'Mapa final'!$A$45),"")</f>
        <v/>
      </c>
      <c r="AG28" s="357"/>
      <c r="AH28" s="346" t="str">
        <f>IF(AND('Mapa final'!$H$33="Media",'Mapa final'!$L$33="Catastrófico"),CONCATENATE("R",'Mapa final'!$A$33),"")</f>
        <v/>
      </c>
      <c r="AI28" s="347"/>
      <c r="AJ28" s="347" t="str">
        <f>IF(AND('Mapa final'!$H$39="Media",'Mapa final'!$L$39="Catastrófico"),CONCATENATE("R",'Mapa final'!$A$39),"")</f>
        <v/>
      </c>
      <c r="AK28" s="347"/>
      <c r="AL28" s="347" t="str">
        <f>IF(AND('Mapa final'!$H$45="Media",'Mapa final'!$L$45="Catastrófico"),CONCATENATE("R",'Mapa final'!$A$45),"")</f>
        <v/>
      </c>
      <c r="AM28" s="348"/>
      <c r="AN28" s="80"/>
      <c r="AO28" s="395"/>
      <c r="AP28" s="396"/>
      <c r="AQ28" s="396"/>
      <c r="AR28" s="396"/>
      <c r="AS28" s="396"/>
      <c r="AT28" s="397"/>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307"/>
      <c r="C29" s="307"/>
      <c r="D29" s="308"/>
      <c r="E29" s="370"/>
      <c r="F29" s="371"/>
      <c r="G29" s="371"/>
      <c r="H29" s="371"/>
      <c r="I29" s="372"/>
      <c r="J29" s="337"/>
      <c r="K29" s="338"/>
      <c r="L29" s="338"/>
      <c r="M29" s="338"/>
      <c r="N29" s="338"/>
      <c r="O29" s="339"/>
      <c r="P29" s="340"/>
      <c r="Q29" s="341"/>
      <c r="R29" s="341"/>
      <c r="S29" s="341"/>
      <c r="T29" s="341"/>
      <c r="U29" s="342"/>
      <c r="V29" s="340"/>
      <c r="W29" s="341"/>
      <c r="X29" s="341"/>
      <c r="Y29" s="341"/>
      <c r="Z29" s="341"/>
      <c r="AA29" s="342"/>
      <c r="AB29" s="358"/>
      <c r="AC29" s="359"/>
      <c r="AD29" s="359"/>
      <c r="AE29" s="359"/>
      <c r="AF29" s="359"/>
      <c r="AG29" s="360"/>
      <c r="AH29" s="349"/>
      <c r="AI29" s="350"/>
      <c r="AJ29" s="350"/>
      <c r="AK29" s="350"/>
      <c r="AL29" s="350"/>
      <c r="AM29" s="351"/>
      <c r="AN29" s="80"/>
      <c r="AO29" s="398"/>
      <c r="AP29" s="399"/>
      <c r="AQ29" s="399"/>
      <c r="AR29" s="399"/>
      <c r="AS29" s="399"/>
      <c r="AT29" s="40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307"/>
      <c r="C30" s="307"/>
      <c r="D30" s="308"/>
      <c r="E30" s="364" t="s">
        <v>114</v>
      </c>
      <c r="F30" s="365"/>
      <c r="G30" s="365"/>
      <c r="H30" s="365"/>
      <c r="I30" s="365"/>
      <c r="J30" s="334" t="str">
        <f>IF(AND('Mapa final'!$H$10="Baja",'Mapa final'!$L$10="Leve"),CONCATENATE("R",'Mapa final'!$A$10),"")</f>
        <v/>
      </c>
      <c r="K30" s="335"/>
      <c r="L30" s="335" t="str">
        <f>IF(AND('Mapa final'!$H$16="Baja",'Mapa final'!$L$16="Leve"),CONCATENATE("R",'Mapa final'!$A$16),"")</f>
        <v/>
      </c>
      <c r="M30" s="335"/>
      <c r="N30" s="335" t="e">
        <f>IF(AND('Mapa final'!#REF!="Baja",'Mapa final'!#REF!="Leve"),CONCATENATE("R",'Mapa final'!#REF!),"")</f>
        <v>#REF!</v>
      </c>
      <c r="O30" s="336"/>
      <c r="P30" s="344" t="str">
        <f>IF(AND('Mapa final'!$H$10="Baja",'Mapa final'!$L$10="Menor"),CONCATENATE("R",'Mapa final'!$A$10),"")</f>
        <v/>
      </c>
      <c r="Q30" s="344"/>
      <c r="R30" s="344" t="str">
        <f>IF(AND('Mapa final'!$H$16="Baja",'Mapa final'!$L$16="Menor"),CONCATENATE("R",'Mapa final'!$A$16),"")</f>
        <v/>
      </c>
      <c r="S30" s="344"/>
      <c r="T30" s="344" t="e">
        <f>IF(AND('Mapa final'!#REF!="Baja",'Mapa final'!#REF!="Menor"),CONCATENATE("R",'Mapa final'!#REF!),"")</f>
        <v>#REF!</v>
      </c>
      <c r="U30" s="345"/>
      <c r="V30" s="343" t="str">
        <f>IF(AND('Mapa final'!$H$10="Baja",'Mapa final'!$L$10="Moderado"),CONCATENATE("R",'Mapa final'!$A$10),"")</f>
        <v/>
      </c>
      <c r="W30" s="344"/>
      <c r="X30" s="344" t="str">
        <f>IF(AND('Mapa final'!$H$16="Baja",'Mapa final'!$L$16="Moderado"),CONCATENATE("R",'Mapa final'!$A$16),"")</f>
        <v/>
      </c>
      <c r="Y30" s="344"/>
      <c r="Z30" s="344" t="e">
        <f>IF(AND('Mapa final'!#REF!="Baja",'Mapa final'!#REF!="Moderado"),CONCATENATE("R",'Mapa final'!#REF!),"")</f>
        <v>#REF!</v>
      </c>
      <c r="AA30" s="345"/>
      <c r="AB30" s="361" t="str">
        <f>IF(AND('Mapa final'!$H$10="Baja",'Mapa final'!$L$10="Mayor"),CONCATENATE("R",'Mapa final'!$A$10),"")</f>
        <v/>
      </c>
      <c r="AC30" s="362"/>
      <c r="AD30" s="362" t="str">
        <f>IF(AND('Mapa final'!$H$16="Baja",'Mapa final'!$L$16="Mayor"),CONCATENATE("R",'Mapa final'!$A$16),"")</f>
        <v/>
      </c>
      <c r="AE30" s="362"/>
      <c r="AF30" s="362" t="e">
        <f>IF(AND('Mapa final'!#REF!="Baja",'Mapa final'!#REF!="Mayor"),CONCATENATE("R",'Mapa final'!#REF!),"")</f>
        <v>#REF!</v>
      </c>
      <c r="AG30" s="363"/>
      <c r="AH30" s="352" t="str">
        <f>IF(AND('Mapa final'!$H$10="Baja",'Mapa final'!$L$10="Catastrófico"),CONCATENATE("R",'Mapa final'!$A$10),"")</f>
        <v/>
      </c>
      <c r="AI30" s="353"/>
      <c r="AJ30" s="353" t="str">
        <f>IF(AND('Mapa final'!$H$16="Baja",'Mapa final'!$L$16="Catastrófico"),CONCATENATE("R",'Mapa final'!$A$16),"")</f>
        <v/>
      </c>
      <c r="AK30" s="353"/>
      <c r="AL30" s="353" t="e">
        <f>IF(AND('Mapa final'!#REF!="Baja",'Mapa final'!#REF!="Catastrófico"),CONCATENATE("R",'Mapa final'!#REF!),"")</f>
        <v>#REF!</v>
      </c>
      <c r="AM30" s="354"/>
      <c r="AN30" s="80"/>
      <c r="AO30" s="401" t="s">
        <v>82</v>
      </c>
      <c r="AP30" s="402"/>
      <c r="AQ30" s="402"/>
      <c r="AR30" s="402"/>
      <c r="AS30" s="402"/>
      <c r="AT30" s="40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307"/>
      <c r="C31" s="307"/>
      <c r="D31" s="308"/>
      <c r="E31" s="367"/>
      <c r="F31" s="368"/>
      <c r="G31" s="368"/>
      <c r="H31" s="368"/>
      <c r="I31" s="368"/>
      <c r="J31" s="328"/>
      <c r="K31" s="329"/>
      <c r="L31" s="329"/>
      <c r="M31" s="329"/>
      <c r="N31" s="329"/>
      <c r="O31" s="330"/>
      <c r="P31" s="338"/>
      <c r="Q31" s="338"/>
      <c r="R31" s="338"/>
      <c r="S31" s="338"/>
      <c r="T31" s="338"/>
      <c r="U31" s="339"/>
      <c r="V31" s="337"/>
      <c r="W31" s="338"/>
      <c r="X31" s="338"/>
      <c r="Y31" s="338"/>
      <c r="Z31" s="338"/>
      <c r="AA31" s="339"/>
      <c r="AB31" s="355"/>
      <c r="AC31" s="356"/>
      <c r="AD31" s="356"/>
      <c r="AE31" s="356"/>
      <c r="AF31" s="356"/>
      <c r="AG31" s="357"/>
      <c r="AH31" s="346"/>
      <c r="AI31" s="347"/>
      <c r="AJ31" s="347"/>
      <c r="AK31" s="347"/>
      <c r="AL31" s="347"/>
      <c r="AM31" s="348"/>
      <c r="AN31" s="80"/>
      <c r="AO31" s="404"/>
      <c r="AP31" s="405"/>
      <c r="AQ31" s="405"/>
      <c r="AR31" s="405"/>
      <c r="AS31" s="405"/>
      <c r="AT31" s="406"/>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307"/>
      <c r="C32" s="307"/>
      <c r="D32" s="308"/>
      <c r="E32" s="367"/>
      <c r="F32" s="368"/>
      <c r="G32" s="368"/>
      <c r="H32" s="368"/>
      <c r="I32" s="368"/>
      <c r="J32" s="328" t="str">
        <f>IF(AND('Mapa final'!$H$19="Baja",'Mapa final'!$L$19="Leve"),CONCATENATE("R",'Mapa final'!$A$19),"")</f>
        <v/>
      </c>
      <c r="K32" s="329"/>
      <c r="L32" s="329" t="str">
        <f>IF(AND('Mapa final'!$H$20="Baja",'Mapa final'!$L$20="Leve"),CONCATENATE("R",'Mapa final'!$A$20),"")</f>
        <v/>
      </c>
      <c r="M32" s="329"/>
      <c r="N32" s="329" t="str">
        <f>IF(AND('Mapa final'!$H$26="Baja",'Mapa final'!$L$26="Leve"),CONCATENATE("R",'Mapa final'!$A$26),"")</f>
        <v/>
      </c>
      <c r="O32" s="330"/>
      <c r="P32" s="338" t="str">
        <f>IF(AND('Mapa final'!$H$19="Baja",'Mapa final'!$L$19="Menor"),CONCATENATE("R",'Mapa final'!$A$19),"")</f>
        <v/>
      </c>
      <c r="Q32" s="338"/>
      <c r="R32" s="338" t="str">
        <f>IF(AND('Mapa final'!$H$20="Baja",'Mapa final'!$L$20="Menor"),CONCATENATE("R",'Mapa final'!$A$20),"")</f>
        <v/>
      </c>
      <c r="S32" s="338"/>
      <c r="T32" s="338" t="str">
        <f>IF(AND('Mapa final'!$H$26="Baja",'Mapa final'!$L$26="Menor"),CONCATENATE("R",'Mapa final'!$A$26),"")</f>
        <v/>
      </c>
      <c r="U32" s="339"/>
      <c r="V32" s="337" t="str">
        <f>IF(AND('Mapa final'!$H$19="Baja",'Mapa final'!$L$19="Moderado"),CONCATENATE("R",'Mapa final'!$A$19),"")</f>
        <v/>
      </c>
      <c r="W32" s="338"/>
      <c r="X32" s="338" t="str">
        <f>IF(AND('Mapa final'!$H$20="Baja",'Mapa final'!$L$20="Moderado"),CONCATENATE("R",'Mapa final'!$A$20),"")</f>
        <v/>
      </c>
      <c r="Y32" s="338"/>
      <c r="Z32" s="338" t="str">
        <f>IF(AND('Mapa final'!$H$26="Baja",'Mapa final'!$L$26="Moderado"),CONCATENATE("R",'Mapa final'!$A$26),"")</f>
        <v/>
      </c>
      <c r="AA32" s="339"/>
      <c r="AB32" s="355" t="str">
        <f>IF(AND('Mapa final'!$H$19="Baja",'Mapa final'!$L$19="Mayor"),CONCATENATE("R",'Mapa final'!$A$19),"")</f>
        <v/>
      </c>
      <c r="AC32" s="356"/>
      <c r="AD32" s="356" t="str">
        <f>IF(AND('Mapa final'!$H$20="Baja",'Mapa final'!$L$20="Mayor"),CONCATENATE("R",'Mapa final'!$A$20),"")</f>
        <v/>
      </c>
      <c r="AE32" s="356"/>
      <c r="AF32" s="356" t="str">
        <f>IF(AND('Mapa final'!$H$26="Baja",'Mapa final'!$L$26="Mayor"),CONCATENATE("R",'Mapa final'!$A$26),"")</f>
        <v/>
      </c>
      <c r="AG32" s="357"/>
      <c r="AH32" s="346" t="str">
        <f>IF(AND('Mapa final'!$H$19="Baja",'Mapa final'!$L$19="Catastrófico"),CONCATENATE("R",'Mapa final'!$A$19),"")</f>
        <v/>
      </c>
      <c r="AI32" s="347"/>
      <c r="AJ32" s="347" t="str">
        <f>IF(AND('Mapa final'!$H$20="Baja",'Mapa final'!$L$20="Catastrófico"),CONCATENATE("R",'Mapa final'!$A$20),"")</f>
        <v/>
      </c>
      <c r="AK32" s="347"/>
      <c r="AL32" s="347" t="str">
        <f>IF(AND('Mapa final'!$H$26="Baja",'Mapa final'!$L$26="Catastrófico"),CONCATENATE("R",'Mapa final'!$A$26),"")</f>
        <v/>
      </c>
      <c r="AM32" s="348"/>
      <c r="AN32" s="80"/>
      <c r="AO32" s="404"/>
      <c r="AP32" s="405"/>
      <c r="AQ32" s="405"/>
      <c r="AR32" s="405"/>
      <c r="AS32" s="405"/>
      <c r="AT32" s="406"/>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307"/>
      <c r="C33" s="307"/>
      <c r="D33" s="308"/>
      <c r="E33" s="367"/>
      <c r="F33" s="368"/>
      <c r="G33" s="368"/>
      <c r="H33" s="368"/>
      <c r="I33" s="368"/>
      <c r="J33" s="328"/>
      <c r="K33" s="329"/>
      <c r="L33" s="329"/>
      <c r="M33" s="329"/>
      <c r="N33" s="329"/>
      <c r="O33" s="330"/>
      <c r="P33" s="338"/>
      <c r="Q33" s="338"/>
      <c r="R33" s="338"/>
      <c r="S33" s="338"/>
      <c r="T33" s="338"/>
      <c r="U33" s="339"/>
      <c r="V33" s="337"/>
      <c r="W33" s="338"/>
      <c r="X33" s="338"/>
      <c r="Y33" s="338"/>
      <c r="Z33" s="338"/>
      <c r="AA33" s="339"/>
      <c r="AB33" s="355"/>
      <c r="AC33" s="356"/>
      <c r="AD33" s="356"/>
      <c r="AE33" s="356"/>
      <c r="AF33" s="356"/>
      <c r="AG33" s="357"/>
      <c r="AH33" s="346"/>
      <c r="AI33" s="347"/>
      <c r="AJ33" s="347"/>
      <c r="AK33" s="347"/>
      <c r="AL33" s="347"/>
      <c r="AM33" s="348"/>
      <c r="AN33" s="80"/>
      <c r="AO33" s="404"/>
      <c r="AP33" s="405"/>
      <c r="AQ33" s="405"/>
      <c r="AR33" s="405"/>
      <c r="AS33" s="405"/>
      <c r="AT33" s="406"/>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307"/>
      <c r="C34" s="307"/>
      <c r="D34" s="308"/>
      <c r="E34" s="367"/>
      <c r="F34" s="368"/>
      <c r="G34" s="368"/>
      <c r="H34" s="368"/>
      <c r="I34" s="368"/>
      <c r="J34" s="328" t="str">
        <f>IF(AND('Mapa final'!$H$29="Baja",'Mapa final'!$L$29="Leve"),CONCATENATE("R",'Mapa final'!$A$29),"")</f>
        <v/>
      </c>
      <c r="K34" s="329"/>
      <c r="L34" s="329" t="str">
        <f>IF(AND('Mapa final'!$H$31="Baja",'Mapa final'!$L$31="Leve"),CONCATENATE("R",'Mapa final'!$A$31),"")</f>
        <v/>
      </c>
      <c r="M34" s="329"/>
      <c r="N34" s="329" t="str">
        <f>IF(AND('Mapa final'!$H$32="Baja",'Mapa final'!$L$32="Leve"),CONCATENATE("R",'Mapa final'!$A$32),"")</f>
        <v/>
      </c>
      <c r="O34" s="330"/>
      <c r="P34" s="338" t="str">
        <f>IF(AND('Mapa final'!$H$29="Baja",'Mapa final'!$L$29="Menor"),CONCATENATE("R",'Mapa final'!$A$29),"")</f>
        <v/>
      </c>
      <c r="Q34" s="338"/>
      <c r="R34" s="338" t="str">
        <f>IF(AND('Mapa final'!$H$31="Baja",'Mapa final'!$L$31="Menor"),CONCATENATE("R",'Mapa final'!$A$31),"")</f>
        <v/>
      </c>
      <c r="S34" s="338"/>
      <c r="T34" s="338" t="str">
        <f>IF(AND('Mapa final'!$H$32="Baja",'Mapa final'!$L$32="Menor"),CONCATENATE("R",'Mapa final'!$A$32),"")</f>
        <v/>
      </c>
      <c r="U34" s="339"/>
      <c r="V34" s="337" t="str">
        <f>IF(AND('Mapa final'!$H$29="Baja",'Mapa final'!$L$29="Moderado"),CONCATENATE("R",'Mapa final'!$A$29),"")</f>
        <v/>
      </c>
      <c r="W34" s="338"/>
      <c r="X34" s="338" t="str">
        <f>IF(AND('Mapa final'!$H$31="Baja",'Mapa final'!$L$31="Moderado"),CONCATENATE("R",'Mapa final'!$A$31),"")</f>
        <v/>
      </c>
      <c r="Y34" s="338"/>
      <c r="Z34" s="338" t="str">
        <f>IF(AND('Mapa final'!$H$32="Baja",'Mapa final'!$L$32="Moderado"),CONCATENATE("R",'Mapa final'!$A$32),"")</f>
        <v/>
      </c>
      <c r="AA34" s="339"/>
      <c r="AB34" s="355" t="str">
        <f>IF(AND('Mapa final'!$H$29="Baja",'Mapa final'!$L$29="Mayor"),CONCATENATE("R",'Mapa final'!$A$29),"")</f>
        <v/>
      </c>
      <c r="AC34" s="356"/>
      <c r="AD34" s="356" t="str">
        <f>IF(AND('Mapa final'!$H$31="Baja",'Mapa final'!$L$31="Mayor"),CONCATENATE("R",'Mapa final'!$A$31),"")</f>
        <v/>
      </c>
      <c r="AE34" s="356"/>
      <c r="AF34" s="356" t="str">
        <f>IF(AND('Mapa final'!$H$32="Baja",'Mapa final'!$L$32="Mayor"),CONCATENATE("R",'Mapa final'!$A$32),"")</f>
        <v/>
      </c>
      <c r="AG34" s="357"/>
      <c r="AH34" s="346" t="str">
        <f>IF(AND('Mapa final'!$H$29="Baja",'Mapa final'!$L$29="Catastrófico"),CONCATENATE("R",'Mapa final'!$A$29),"")</f>
        <v/>
      </c>
      <c r="AI34" s="347"/>
      <c r="AJ34" s="347" t="str">
        <f>IF(AND('Mapa final'!$H$31="Baja",'Mapa final'!$L$31="Catastrófico"),CONCATENATE("R",'Mapa final'!$A$31),"")</f>
        <v/>
      </c>
      <c r="AK34" s="347"/>
      <c r="AL34" s="347" t="str">
        <f>IF(AND('Mapa final'!$H$32="Baja",'Mapa final'!$L$32="Catastrófico"),CONCATENATE("R",'Mapa final'!$A$32),"")</f>
        <v/>
      </c>
      <c r="AM34" s="348"/>
      <c r="AN34" s="80"/>
      <c r="AO34" s="404"/>
      <c r="AP34" s="405"/>
      <c r="AQ34" s="405"/>
      <c r="AR34" s="405"/>
      <c r="AS34" s="405"/>
      <c r="AT34" s="406"/>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307"/>
      <c r="C35" s="307"/>
      <c r="D35" s="308"/>
      <c r="E35" s="367"/>
      <c r="F35" s="368"/>
      <c r="G35" s="368"/>
      <c r="H35" s="368"/>
      <c r="I35" s="368"/>
      <c r="J35" s="328"/>
      <c r="K35" s="329"/>
      <c r="L35" s="329"/>
      <c r="M35" s="329"/>
      <c r="N35" s="329"/>
      <c r="O35" s="330"/>
      <c r="P35" s="338"/>
      <c r="Q35" s="338"/>
      <c r="R35" s="338"/>
      <c r="S35" s="338"/>
      <c r="T35" s="338"/>
      <c r="U35" s="339"/>
      <c r="V35" s="337"/>
      <c r="W35" s="338"/>
      <c r="X35" s="338"/>
      <c r="Y35" s="338"/>
      <c r="Z35" s="338"/>
      <c r="AA35" s="339"/>
      <c r="AB35" s="355"/>
      <c r="AC35" s="356"/>
      <c r="AD35" s="356"/>
      <c r="AE35" s="356"/>
      <c r="AF35" s="356"/>
      <c r="AG35" s="357"/>
      <c r="AH35" s="346"/>
      <c r="AI35" s="347"/>
      <c r="AJ35" s="347"/>
      <c r="AK35" s="347"/>
      <c r="AL35" s="347"/>
      <c r="AM35" s="348"/>
      <c r="AN35" s="80"/>
      <c r="AO35" s="404"/>
      <c r="AP35" s="405"/>
      <c r="AQ35" s="405"/>
      <c r="AR35" s="405"/>
      <c r="AS35" s="405"/>
      <c r="AT35" s="40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307"/>
      <c r="C36" s="307"/>
      <c r="D36" s="308"/>
      <c r="E36" s="367"/>
      <c r="F36" s="368"/>
      <c r="G36" s="368"/>
      <c r="H36" s="368"/>
      <c r="I36" s="368"/>
      <c r="J36" s="328" t="str">
        <f>IF(AND('Mapa final'!$H$33="Baja",'Mapa final'!$L$33="Leve"),CONCATENATE("R",'Mapa final'!$A$33),"")</f>
        <v/>
      </c>
      <c r="K36" s="329"/>
      <c r="L36" s="329" t="str">
        <f>IF(AND('Mapa final'!$H$39="Baja",'Mapa final'!$L$39="Leve"),CONCATENATE("R",'Mapa final'!$A$39),"")</f>
        <v/>
      </c>
      <c r="M36" s="329"/>
      <c r="N36" s="329" t="str">
        <f>IF(AND('Mapa final'!$H$45="Baja",'Mapa final'!$L$45="Leve"),CONCATENATE("R",'Mapa final'!$A$45),"")</f>
        <v/>
      </c>
      <c r="O36" s="330"/>
      <c r="P36" s="338" t="str">
        <f>IF(AND('Mapa final'!$H$33="Baja",'Mapa final'!$L$33="Menor"),CONCATENATE("R",'Mapa final'!$A$33),"")</f>
        <v/>
      </c>
      <c r="Q36" s="338"/>
      <c r="R36" s="338" t="str">
        <f>IF(AND('Mapa final'!$H$39="Baja",'Mapa final'!$L$39="Menor"),CONCATENATE("R",'Mapa final'!$A$39),"")</f>
        <v/>
      </c>
      <c r="S36" s="338"/>
      <c r="T36" s="338" t="str">
        <f>IF(AND('Mapa final'!$H$45="Baja",'Mapa final'!$L$45="Menor"),CONCATENATE("R",'Mapa final'!$A$45),"")</f>
        <v/>
      </c>
      <c r="U36" s="339"/>
      <c r="V36" s="337" t="str">
        <f>IF(AND('Mapa final'!$H$33="Baja",'Mapa final'!$L$33="Moderado"),CONCATENATE("R",'Mapa final'!$A$33),"")</f>
        <v/>
      </c>
      <c r="W36" s="338"/>
      <c r="X36" s="338" t="str">
        <f>IF(AND('Mapa final'!$H$39="Baja",'Mapa final'!$L$39="Moderado"),CONCATENATE("R",'Mapa final'!$A$39),"")</f>
        <v/>
      </c>
      <c r="Y36" s="338"/>
      <c r="Z36" s="338" t="str">
        <f>IF(AND('Mapa final'!$H$45="Baja",'Mapa final'!$L$45="Moderado"),CONCATENATE("R",'Mapa final'!$A$45),"")</f>
        <v/>
      </c>
      <c r="AA36" s="339"/>
      <c r="AB36" s="355" t="str">
        <f>IF(AND('Mapa final'!$H$33="Baja",'Mapa final'!$L$33="Mayor"),CONCATENATE("R",'Mapa final'!$A$33),"")</f>
        <v/>
      </c>
      <c r="AC36" s="356"/>
      <c r="AD36" s="356" t="str">
        <f>IF(AND('Mapa final'!$H$39="Baja",'Mapa final'!$L$39="Mayor"),CONCATENATE("R",'Mapa final'!$A$39),"")</f>
        <v/>
      </c>
      <c r="AE36" s="356"/>
      <c r="AF36" s="356" t="str">
        <f>IF(AND('Mapa final'!$H$45="Baja",'Mapa final'!$L$45="Mayor"),CONCATENATE("R",'Mapa final'!$A$45),"")</f>
        <v/>
      </c>
      <c r="AG36" s="357"/>
      <c r="AH36" s="346" t="str">
        <f>IF(AND('Mapa final'!$H$33="Baja",'Mapa final'!$L$33="Catastrófico"),CONCATENATE("R",'Mapa final'!$A$33),"")</f>
        <v/>
      </c>
      <c r="AI36" s="347"/>
      <c r="AJ36" s="347" t="str">
        <f>IF(AND('Mapa final'!$H$39="Baja",'Mapa final'!$L$39="Catastrófico"),CONCATENATE("R",'Mapa final'!$A$39),"")</f>
        <v/>
      </c>
      <c r="AK36" s="347"/>
      <c r="AL36" s="347" t="str">
        <f>IF(AND('Mapa final'!$H$45="Baja",'Mapa final'!$L$45="Catastrófico"),CONCATENATE("R",'Mapa final'!$A$45),"")</f>
        <v/>
      </c>
      <c r="AM36" s="348"/>
      <c r="AN36" s="80"/>
      <c r="AO36" s="404"/>
      <c r="AP36" s="405"/>
      <c r="AQ36" s="405"/>
      <c r="AR36" s="405"/>
      <c r="AS36" s="405"/>
      <c r="AT36" s="406"/>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307"/>
      <c r="C37" s="307"/>
      <c r="D37" s="308"/>
      <c r="E37" s="370"/>
      <c r="F37" s="371"/>
      <c r="G37" s="371"/>
      <c r="H37" s="371"/>
      <c r="I37" s="371"/>
      <c r="J37" s="331"/>
      <c r="K37" s="332"/>
      <c r="L37" s="332"/>
      <c r="M37" s="332"/>
      <c r="N37" s="332"/>
      <c r="O37" s="333"/>
      <c r="P37" s="341"/>
      <c r="Q37" s="341"/>
      <c r="R37" s="341"/>
      <c r="S37" s="341"/>
      <c r="T37" s="341"/>
      <c r="U37" s="342"/>
      <c r="V37" s="340"/>
      <c r="W37" s="341"/>
      <c r="X37" s="341"/>
      <c r="Y37" s="341"/>
      <c r="Z37" s="341"/>
      <c r="AA37" s="342"/>
      <c r="AB37" s="358"/>
      <c r="AC37" s="359"/>
      <c r="AD37" s="359"/>
      <c r="AE37" s="359"/>
      <c r="AF37" s="359"/>
      <c r="AG37" s="360"/>
      <c r="AH37" s="349"/>
      <c r="AI37" s="350"/>
      <c r="AJ37" s="350"/>
      <c r="AK37" s="350"/>
      <c r="AL37" s="350"/>
      <c r="AM37" s="351"/>
      <c r="AN37" s="80"/>
      <c r="AO37" s="407"/>
      <c r="AP37" s="408"/>
      <c r="AQ37" s="408"/>
      <c r="AR37" s="408"/>
      <c r="AS37" s="408"/>
      <c r="AT37" s="409"/>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307"/>
      <c r="C38" s="307"/>
      <c r="D38" s="308"/>
      <c r="E38" s="364" t="s">
        <v>113</v>
      </c>
      <c r="F38" s="365"/>
      <c r="G38" s="365"/>
      <c r="H38" s="365"/>
      <c r="I38" s="366"/>
      <c r="J38" s="334" t="str">
        <f>IF(AND('Mapa final'!$H$10="Muy Baja",'Mapa final'!$L$10="Leve"),CONCATENATE("R",'Mapa final'!$A$10),"")</f>
        <v/>
      </c>
      <c r="K38" s="335"/>
      <c r="L38" s="335" t="str">
        <f>IF(AND('Mapa final'!$H$16="Muy Baja",'Mapa final'!$L$16="Leve"),CONCATENATE("R",'Mapa final'!$A$16),"")</f>
        <v/>
      </c>
      <c r="M38" s="335"/>
      <c r="N38" s="335" t="e">
        <f>IF(AND('Mapa final'!#REF!="Muy Baja",'Mapa final'!#REF!="Leve"),CONCATENATE("R",'Mapa final'!#REF!),"")</f>
        <v>#REF!</v>
      </c>
      <c r="O38" s="336"/>
      <c r="P38" s="334" t="str">
        <f>IF(AND('Mapa final'!$H$10="Muy Baja",'Mapa final'!$L$10="Menor"),CONCATENATE("R",'Mapa final'!$A$10),"")</f>
        <v/>
      </c>
      <c r="Q38" s="335"/>
      <c r="R38" s="335" t="str">
        <f>IF(AND('Mapa final'!$H$16="Muy Baja",'Mapa final'!$L$16="Menor"),CONCATENATE("R",'Mapa final'!$A$16),"")</f>
        <v/>
      </c>
      <c r="S38" s="335"/>
      <c r="T38" s="335" t="e">
        <f>IF(AND('Mapa final'!#REF!="Muy Baja",'Mapa final'!#REF!="Menor"),CONCATENATE("R",'Mapa final'!#REF!),"")</f>
        <v>#REF!</v>
      </c>
      <c r="U38" s="336"/>
      <c r="V38" s="343" t="str">
        <f>IF(AND('Mapa final'!$H$10="Muy Baja",'Mapa final'!$L$10="Moderado"),CONCATENATE("R",'Mapa final'!$A$10),"")</f>
        <v/>
      </c>
      <c r="W38" s="344"/>
      <c r="X38" s="344" t="str">
        <f>IF(AND('Mapa final'!$H$16="Muy Baja",'Mapa final'!$L$16="Moderado"),CONCATENATE("R",'Mapa final'!$A$16),"")</f>
        <v/>
      </c>
      <c r="Y38" s="344"/>
      <c r="Z38" s="344" t="e">
        <f>IF(AND('Mapa final'!#REF!="Muy Baja",'Mapa final'!#REF!="Moderado"),CONCATENATE("R",'Mapa final'!#REF!),"")</f>
        <v>#REF!</v>
      </c>
      <c r="AA38" s="345"/>
      <c r="AB38" s="361" t="str">
        <f>IF(AND('Mapa final'!$H$10="Muy Baja",'Mapa final'!$L$10="Mayor"),CONCATENATE("R",'Mapa final'!$A$10),"")</f>
        <v/>
      </c>
      <c r="AC38" s="362"/>
      <c r="AD38" s="362" t="str">
        <f>IF(AND('Mapa final'!$H$16="Muy Baja",'Mapa final'!$L$16="Mayor"),CONCATENATE("R",'Mapa final'!$A$16),"")</f>
        <v/>
      </c>
      <c r="AE38" s="362"/>
      <c r="AF38" s="362" t="e">
        <f>IF(AND('Mapa final'!#REF!="Muy Baja",'Mapa final'!#REF!="Mayor"),CONCATENATE("R",'Mapa final'!#REF!),"")</f>
        <v>#REF!</v>
      </c>
      <c r="AG38" s="363"/>
      <c r="AH38" s="352" t="str">
        <f>IF(AND('Mapa final'!$H$10="Muy Baja",'Mapa final'!$L$10="Catastrófico"),CONCATENATE("R",'Mapa final'!$A$10),"")</f>
        <v/>
      </c>
      <c r="AI38" s="353"/>
      <c r="AJ38" s="353" t="str">
        <f>IF(AND('Mapa final'!$H$16="Muy Baja",'Mapa final'!$L$16="Catastrófico"),CONCATENATE("R",'Mapa final'!$A$16),"")</f>
        <v/>
      </c>
      <c r="AK38" s="353"/>
      <c r="AL38" s="353" t="e">
        <f>IF(AND('Mapa final'!#REF!="Muy Baja",'Mapa final'!#REF!="Catastrófico"),CONCATENATE("R",'Mapa final'!#REF!),"")</f>
        <v>#REF!</v>
      </c>
      <c r="AM38" s="354"/>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307"/>
      <c r="C39" s="307"/>
      <c r="D39" s="308"/>
      <c r="E39" s="367"/>
      <c r="F39" s="368"/>
      <c r="G39" s="368"/>
      <c r="H39" s="368"/>
      <c r="I39" s="369"/>
      <c r="J39" s="328"/>
      <c r="K39" s="329"/>
      <c r="L39" s="329"/>
      <c r="M39" s="329"/>
      <c r="N39" s="329"/>
      <c r="O39" s="330"/>
      <c r="P39" s="328"/>
      <c r="Q39" s="329"/>
      <c r="R39" s="329"/>
      <c r="S39" s="329"/>
      <c r="T39" s="329"/>
      <c r="U39" s="330"/>
      <c r="V39" s="337"/>
      <c r="W39" s="338"/>
      <c r="X39" s="338"/>
      <c r="Y39" s="338"/>
      <c r="Z39" s="338"/>
      <c r="AA39" s="339"/>
      <c r="AB39" s="355"/>
      <c r="AC39" s="356"/>
      <c r="AD39" s="356"/>
      <c r="AE39" s="356"/>
      <c r="AF39" s="356"/>
      <c r="AG39" s="357"/>
      <c r="AH39" s="346"/>
      <c r="AI39" s="347"/>
      <c r="AJ39" s="347"/>
      <c r="AK39" s="347"/>
      <c r="AL39" s="347"/>
      <c r="AM39" s="348"/>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307"/>
      <c r="C40" s="307"/>
      <c r="D40" s="308"/>
      <c r="E40" s="367"/>
      <c r="F40" s="368"/>
      <c r="G40" s="368"/>
      <c r="H40" s="368"/>
      <c r="I40" s="369"/>
      <c r="J40" s="328" t="str">
        <f>IF(AND('Mapa final'!$H$19="Muy Baja",'Mapa final'!$L$19="Leve"),CONCATENATE("R",'Mapa final'!$A$19),"")</f>
        <v/>
      </c>
      <c r="K40" s="329"/>
      <c r="L40" s="329" t="str">
        <f>IF(AND('Mapa final'!$H$20="Muy Baja",'Mapa final'!$L$20="Leve"),CONCATENATE("R",'Mapa final'!$A$20),"")</f>
        <v/>
      </c>
      <c r="M40" s="329"/>
      <c r="N40" s="329" t="str">
        <f>IF(AND('Mapa final'!$H$26="Muy Baja",'Mapa final'!$L$26="Leve"),CONCATENATE("R",'Mapa final'!$A$26),"")</f>
        <v/>
      </c>
      <c r="O40" s="330"/>
      <c r="P40" s="328" t="str">
        <f>IF(AND('Mapa final'!$H$19="Muy Baja",'Mapa final'!$L$19="Menor"),CONCATENATE("R",'Mapa final'!$A$19),"")</f>
        <v/>
      </c>
      <c r="Q40" s="329"/>
      <c r="R40" s="329" t="str">
        <f>IF(AND('Mapa final'!$H$20="Muy Baja",'Mapa final'!$L$20="Menor"),CONCATENATE("R",'Mapa final'!$A$20),"")</f>
        <v/>
      </c>
      <c r="S40" s="329"/>
      <c r="T40" s="329" t="str">
        <f>IF(AND('Mapa final'!$H$26="Muy Baja",'Mapa final'!$L$26="Menor"),CONCATENATE("R",'Mapa final'!$A$26),"")</f>
        <v/>
      </c>
      <c r="U40" s="330"/>
      <c r="V40" s="337" t="str">
        <f>IF(AND('Mapa final'!$H$19="Muy Baja",'Mapa final'!$L$19="Moderado"),CONCATENATE("R",'Mapa final'!$A$19),"")</f>
        <v/>
      </c>
      <c r="W40" s="338"/>
      <c r="X40" s="338" t="str">
        <f>IF(AND('Mapa final'!$H$20="Muy Baja",'Mapa final'!$L$20="Moderado"),CONCATENATE("R",'Mapa final'!$A$20),"")</f>
        <v/>
      </c>
      <c r="Y40" s="338"/>
      <c r="Z40" s="338" t="str">
        <f>IF(AND('Mapa final'!$H$26="Muy Baja",'Mapa final'!$L$26="Moderado"),CONCATENATE("R",'Mapa final'!$A$26),"")</f>
        <v/>
      </c>
      <c r="AA40" s="339"/>
      <c r="AB40" s="355" t="str">
        <f>IF(AND('Mapa final'!$H$19="Muy Baja",'Mapa final'!$L$19="Mayor"),CONCATENATE("R",'Mapa final'!$A$19),"")</f>
        <v/>
      </c>
      <c r="AC40" s="356"/>
      <c r="AD40" s="356" t="str">
        <f>IF(AND('Mapa final'!$H$20="Muy Baja",'Mapa final'!$L$20="Mayor"),CONCATENATE("R",'Mapa final'!$A$20),"")</f>
        <v/>
      </c>
      <c r="AE40" s="356"/>
      <c r="AF40" s="356" t="str">
        <f>IF(AND('Mapa final'!$H$26="Muy Baja",'Mapa final'!$L$26="Mayor"),CONCATENATE("R",'Mapa final'!$A$26),"")</f>
        <v/>
      </c>
      <c r="AG40" s="357"/>
      <c r="AH40" s="346" t="str">
        <f>IF(AND('Mapa final'!$H$19="Muy Baja",'Mapa final'!$L$19="Catastrófico"),CONCATENATE("R",'Mapa final'!$A$19),"")</f>
        <v/>
      </c>
      <c r="AI40" s="347"/>
      <c r="AJ40" s="347" t="str">
        <f>IF(AND('Mapa final'!$H$20="Muy Baja",'Mapa final'!$L$20="Catastrófico"),CONCATENATE("R",'Mapa final'!$A$20),"")</f>
        <v/>
      </c>
      <c r="AK40" s="347"/>
      <c r="AL40" s="347" t="str">
        <f>IF(AND('Mapa final'!$H$26="Muy Baja",'Mapa final'!$L$26="Catastrófico"),CONCATENATE("R",'Mapa final'!$A$26),"")</f>
        <v/>
      </c>
      <c r="AM40" s="348"/>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307"/>
      <c r="C41" s="307"/>
      <c r="D41" s="308"/>
      <c r="E41" s="367"/>
      <c r="F41" s="368"/>
      <c r="G41" s="368"/>
      <c r="H41" s="368"/>
      <c r="I41" s="369"/>
      <c r="J41" s="328"/>
      <c r="K41" s="329"/>
      <c r="L41" s="329"/>
      <c r="M41" s="329"/>
      <c r="N41" s="329"/>
      <c r="O41" s="330"/>
      <c r="P41" s="328"/>
      <c r="Q41" s="329"/>
      <c r="R41" s="329"/>
      <c r="S41" s="329"/>
      <c r="T41" s="329"/>
      <c r="U41" s="330"/>
      <c r="V41" s="337"/>
      <c r="W41" s="338"/>
      <c r="X41" s="338"/>
      <c r="Y41" s="338"/>
      <c r="Z41" s="338"/>
      <c r="AA41" s="339"/>
      <c r="AB41" s="355"/>
      <c r="AC41" s="356"/>
      <c r="AD41" s="356"/>
      <c r="AE41" s="356"/>
      <c r="AF41" s="356"/>
      <c r="AG41" s="357"/>
      <c r="AH41" s="346"/>
      <c r="AI41" s="347"/>
      <c r="AJ41" s="347"/>
      <c r="AK41" s="347"/>
      <c r="AL41" s="347"/>
      <c r="AM41" s="348"/>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307"/>
      <c r="C42" s="307"/>
      <c r="D42" s="308"/>
      <c r="E42" s="367"/>
      <c r="F42" s="368"/>
      <c r="G42" s="368"/>
      <c r="H42" s="368"/>
      <c r="I42" s="369"/>
      <c r="J42" s="328" t="str">
        <f>IF(AND('Mapa final'!$H$29="Muy Baja",'Mapa final'!$L$29="Leve"),CONCATENATE("R",'Mapa final'!$A$29),"")</f>
        <v/>
      </c>
      <c r="K42" s="329"/>
      <c r="L42" s="329" t="str">
        <f>IF(AND('Mapa final'!$H$31="Muy Baja",'Mapa final'!$L$31="Leve"),CONCATENATE("R",'Mapa final'!$A$31),"")</f>
        <v/>
      </c>
      <c r="M42" s="329"/>
      <c r="N42" s="329" t="str">
        <f>IF(AND('Mapa final'!$H$32="Muy Baja",'Mapa final'!$L$32="Leve"),CONCATENATE("R",'Mapa final'!$A$32),"")</f>
        <v/>
      </c>
      <c r="O42" s="330"/>
      <c r="P42" s="328" t="str">
        <f>IF(AND('Mapa final'!$H$29="Muy Baja",'Mapa final'!$L$29="Menor"),CONCATENATE("R",'Mapa final'!$A$29),"")</f>
        <v/>
      </c>
      <c r="Q42" s="329"/>
      <c r="R42" s="329" t="str">
        <f>IF(AND('Mapa final'!$H$31="Muy Baja",'Mapa final'!$L$31="Menor"),CONCATENATE("R",'Mapa final'!$A$31),"")</f>
        <v/>
      </c>
      <c r="S42" s="329"/>
      <c r="T42" s="329" t="str">
        <f>IF(AND('Mapa final'!$H$32="Muy Baja",'Mapa final'!$L$32="Menor"),CONCATENATE("R",'Mapa final'!$A$32),"")</f>
        <v/>
      </c>
      <c r="U42" s="330"/>
      <c r="V42" s="337" t="str">
        <f>IF(AND('Mapa final'!$H$29="Muy Baja",'Mapa final'!$L$29="Moderado"),CONCATENATE("R",'Mapa final'!$A$29),"")</f>
        <v/>
      </c>
      <c r="W42" s="338"/>
      <c r="X42" s="338" t="str">
        <f>IF(AND('Mapa final'!$H$31="Muy Baja",'Mapa final'!$L$31="Moderado"),CONCATENATE("R",'Mapa final'!$A$31),"")</f>
        <v/>
      </c>
      <c r="Y42" s="338"/>
      <c r="Z42" s="338" t="str">
        <f>IF(AND('Mapa final'!$H$32="Muy Baja",'Mapa final'!$L$32="Moderado"),CONCATENATE("R",'Mapa final'!$A$32),"")</f>
        <v/>
      </c>
      <c r="AA42" s="339"/>
      <c r="AB42" s="355" t="str">
        <f>IF(AND('Mapa final'!$H$29="Muy Baja",'Mapa final'!$L$29="Mayor"),CONCATENATE("R",'Mapa final'!$A$29),"")</f>
        <v/>
      </c>
      <c r="AC42" s="356"/>
      <c r="AD42" s="356" t="str">
        <f>IF(AND('Mapa final'!$H$31="Muy Baja",'Mapa final'!$L$31="Mayor"),CONCATENATE("R",'Mapa final'!$A$31),"")</f>
        <v/>
      </c>
      <c r="AE42" s="356"/>
      <c r="AF42" s="356" t="str">
        <f>IF(AND('Mapa final'!$H$32="Muy Baja",'Mapa final'!$L$32="Mayor"),CONCATENATE("R",'Mapa final'!$A$32),"")</f>
        <v/>
      </c>
      <c r="AG42" s="357"/>
      <c r="AH42" s="346" t="str">
        <f>IF(AND('Mapa final'!$H$29="Muy Baja",'Mapa final'!$L$29="Catastrófico"),CONCATENATE("R",'Mapa final'!$A$29),"")</f>
        <v/>
      </c>
      <c r="AI42" s="347"/>
      <c r="AJ42" s="347" t="str">
        <f>IF(AND('Mapa final'!$H$31="Muy Baja",'Mapa final'!$L$31="Catastrófico"),CONCATENATE("R",'Mapa final'!$A$31),"")</f>
        <v/>
      </c>
      <c r="AK42" s="347"/>
      <c r="AL42" s="347" t="str">
        <f>IF(AND('Mapa final'!$H$32="Muy Baja",'Mapa final'!$L$32="Catastrófico"),CONCATENATE("R",'Mapa final'!$A$32),"")</f>
        <v/>
      </c>
      <c r="AM42" s="348"/>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307"/>
      <c r="C43" s="307"/>
      <c r="D43" s="308"/>
      <c r="E43" s="367"/>
      <c r="F43" s="368"/>
      <c r="G43" s="368"/>
      <c r="H43" s="368"/>
      <c r="I43" s="369"/>
      <c r="J43" s="328"/>
      <c r="K43" s="329"/>
      <c r="L43" s="329"/>
      <c r="M43" s="329"/>
      <c r="N43" s="329"/>
      <c r="O43" s="330"/>
      <c r="P43" s="328"/>
      <c r="Q43" s="329"/>
      <c r="R43" s="329"/>
      <c r="S43" s="329"/>
      <c r="T43" s="329"/>
      <c r="U43" s="330"/>
      <c r="V43" s="337"/>
      <c r="W43" s="338"/>
      <c r="X43" s="338"/>
      <c r="Y43" s="338"/>
      <c r="Z43" s="338"/>
      <c r="AA43" s="339"/>
      <c r="AB43" s="355"/>
      <c r="AC43" s="356"/>
      <c r="AD43" s="356"/>
      <c r="AE43" s="356"/>
      <c r="AF43" s="356"/>
      <c r="AG43" s="357"/>
      <c r="AH43" s="346"/>
      <c r="AI43" s="347"/>
      <c r="AJ43" s="347"/>
      <c r="AK43" s="347"/>
      <c r="AL43" s="347"/>
      <c r="AM43" s="348"/>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307"/>
      <c r="C44" s="307"/>
      <c r="D44" s="308"/>
      <c r="E44" s="367"/>
      <c r="F44" s="368"/>
      <c r="G44" s="368"/>
      <c r="H44" s="368"/>
      <c r="I44" s="369"/>
      <c r="J44" s="328" t="str">
        <f>IF(AND('Mapa final'!$H$33="Muy Baja",'Mapa final'!$L$33="Leve"),CONCATENATE("R",'Mapa final'!$A$33),"")</f>
        <v/>
      </c>
      <c r="K44" s="329"/>
      <c r="L44" s="329" t="str">
        <f>IF(AND('Mapa final'!$H$39="Muy Baja",'Mapa final'!$L$39="Leve"),CONCATENATE("R",'Mapa final'!$A$39),"")</f>
        <v/>
      </c>
      <c r="M44" s="329"/>
      <c r="N44" s="329" t="str">
        <f>IF(AND('Mapa final'!$H$45="Muy Baja",'Mapa final'!$L$45="Leve"),CONCATENATE("R",'Mapa final'!$A$45),"")</f>
        <v/>
      </c>
      <c r="O44" s="330"/>
      <c r="P44" s="328" t="str">
        <f>IF(AND('Mapa final'!$H$33="Muy Baja",'Mapa final'!$L$33="Menor"),CONCATENATE("R",'Mapa final'!$A$33),"")</f>
        <v/>
      </c>
      <c r="Q44" s="329"/>
      <c r="R44" s="329" t="str">
        <f>IF(AND('Mapa final'!$H$39="Muy Baja",'Mapa final'!$L$39="Menor"),CONCATENATE("R",'Mapa final'!$A$39),"")</f>
        <v/>
      </c>
      <c r="S44" s="329"/>
      <c r="T44" s="329" t="str">
        <f>IF(AND('Mapa final'!$H$45="Muy Baja",'Mapa final'!$L$45="Menor"),CONCATENATE("R",'Mapa final'!$A$45),"")</f>
        <v/>
      </c>
      <c r="U44" s="330"/>
      <c r="V44" s="337" t="str">
        <f>IF(AND('Mapa final'!$H$33="Muy Baja",'Mapa final'!$L$33="Moderado"),CONCATENATE("R",'Mapa final'!$A$33),"")</f>
        <v/>
      </c>
      <c r="W44" s="338"/>
      <c r="X44" s="338" t="str">
        <f>IF(AND('Mapa final'!$H$39="Muy Baja",'Mapa final'!$L$39="Moderado"),CONCATENATE("R",'Mapa final'!$A$39),"")</f>
        <v/>
      </c>
      <c r="Y44" s="338"/>
      <c r="Z44" s="338" t="str">
        <f>IF(AND('Mapa final'!$H$45="Muy Baja",'Mapa final'!$L$45="Moderado"),CONCATENATE("R",'Mapa final'!$A$45),"")</f>
        <v/>
      </c>
      <c r="AA44" s="339"/>
      <c r="AB44" s="355" t="str">
        <f>IF(AND('Mapa final'!$H$33="Muy Baja",'Mapa final'!$L$33="Mayor"),CONCATENATE("R",'Mapa final'!$A$33),"")</f>
        <v/>
      </c>
      <c r="AC44" s="356"/>
      <c r="AD44" s="356" t="str">
        <f>IF(AND('Mapa final'!$H$39="Muy Baja",'Mapa final'!$L$39="Mayor"),CONCATENATE("R",'Mapa final'!$A$39),"")</f>
        <v/>
      </c>
      <c r="AE44" s="356"/>
      <c r="AF44" s="356" t="str">
        <f>IF(AND('Mapa final'!$H$45="Muy Baja",'Mapa final'!$L$45="Mayor"),CONCATENATE("R",'Mapa final'!$A$45),"")</f>
        <v/>
      </c>
      <c r="AG44" s="357"/>
      <c r="AH44" s="346" t="str">
        <f>IF(AND('Mapa final'!$H$33="Muy Baja",'Mapa final'!$L$33="Catastrófico"),CONCATENATE("R",'Mapa final'!$A$33),"")</f>
        <v/>
      </c>
      <c r="AI44" s="347"/>
      <c r="AJ44" s="347" t="str">
        <f>IF(AND('Mapa final'!$H$39="Muy Baja",'Mapa final'!$L$39="Catastrófico"),CONCATENATE("R",'Mapa final'!$A$39),"")</f>
        <v/>
      </c>
      <c r="AK44" s="347"/>
      <c r="AL44" s="347" t="str">
        <f>IF(AND('Mapa final'!$H$45="Muy Baja",'Mapa final'!$L$45="Catastrófico"),CONCATENATE("R",'Mapa final'!$A$45),"")</f>
        <v/>
      </c>
      <c r="AM44" s="348"/>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307"/>
      <c r="C45" s="307"/>
      <c r="D45" s="308"/>
      <c r="E45" s="370"/>
      <c r="F45" s="371"/>
      <c r="G45" s="371"/>
      <c r="H45" s="371"/>
      <c r="I45" s="372"/>
      <c r="J45" s="331"/>
      <c r="K45" s="332"/>
      <c r="L45" s="332"/>
      <c r="M45" s="332"/>
      <c r="N45" s="332"/>
      <c r="O45" s="333"/>
      <c r="P45" s="331"/>
      <c r="Q45" s="332"/>
      <c r="R45" s="332"/>
      <c r="S45" s="332"/>
      <c r="T45" s="332"/>
      <c r="U45" s="333"/>
      <c r="V45" s="340"/>
      <c r="W45" s="341"/>
      <c r="X45" s="341"/>
      <c r="Y45" s="341"/>
      <c r="Z45" s="341"/>
      <c r="AA45" s="342"/>
      <c r="AB45" s="358"/>
      <c r="AC45" s="359"/>
      <c r="AD45" s="359"/>
      <c r="AE45" s="359"/>
      <c r="AF45" s="359"/>
      <c r="AG45" s="360"/>
      <c r="AH45" s="349"/>
      <c r="AI45" s="350"/>
      <c r="AJ45" s="350"/>
      <c r="AK45" s="350"/>
      <c r="AL45" s="350"/>
      <c r="AM45" s="351"/>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64" t="s">
        <v>112</v>
      </c>
      <c r="K46" s="365"/>
      <c r="L46" s="365"/>
      <c r="M46" s="365"/>
      <c r="N46" s="365"/>
      <c r="O46" s="366"/>
      <c r="P46" s="364" t="s">
        <v>111</v>
      </c>
      <c r="Q46" s="365"/>
      <c r="R46" s="365"/>
      <c r="S46" s="365"/>
      <c r="T46" s="365"/>
      <c r="U46" s="366"/>
      <c r="V46" s="364" t="s">
        <v>110</v>
      </c>
      <c r="W46" s="365"/>
      <c r="X46" s="365"/>
      <c r="Y46" s="365"/>
      <c r="Z46" s="365"/>
      <c r="AA46" s="366"/>
      <c r="AB46" s="364" t="s">
        <v>109</v>
      </c>
      <c r="AC46" s="373"/>
      <c r="AD46" s="365"/>
      <c r="AE46" s="365"/>
      <c r="AF46" s="365"/>
      <c r="AG46" s="366"/>
      <c r="AH46" s="364" t="s">
        <v>108</v>
      </c>
      <c r="AI46" s="365"/>
      <c r="AJ46" s="365"/>
      <c r="AK46" s="365"/>
      <c r="AL46" s="365"/>
      <c r="AM46" s="366"/>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67"/>
      <c r="K47" s="368"/>
      <c r="L47" s="368"/>
      <c r="M47" s="368"/>
      <c r="N47" s="368"/>
      <c r="O47" s="369"/>
      <c r="P47" s="367"/>
      <c r="Q47" s="368"/>
      <c r="R47" s="368"/>
      <c r="S47" s="368"/>
      <c r="T47" s="368"/>
      <c r="U47" s="369"/>
      <c r="V47" s="367"/>
      <c r="W47" s="368"/>
      <c r="X47" s="368"/>
      <c r="Y47" s="368"/>
      <c r="Z47" s="368"/>
      <c r="AA47" s="369"/>
      <c r="AB47" s="367"/>
      <c r="AC47" s="368"/>
      <c r="AD47" s="368"/>
      <c r="AE47" s="368"/>
      <c r="AF47" s="368"/>
      <c r="AG47" s="369"/>
      <c r="AH47" s="367"/>
      <c r="AI47" s="368"/>
      <c r="AJ47" s="368"/>
      <c r="AK47" s="368"/>
      <c r="AL47" s="368"/>
      <c r="AM47" s="369"/>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67"/>
      <c r="K48" s="368"/>
      <c r="L48" s="368"/>
      <c r="M48" s="368"/>
      <c r="N48" s="368"/>
      <c r="O48" s="369"/>
      <c r="P48" s="367"/>
      <c r="Q48" s="368"/>
      <c r="R48" s="368"/>
      <c r="S48" s="368"/>
      <c r="T48" s="368"/>
      <c r="U48" s="369"/>
      <c r="V48" s="367"/>
      <c r="W48" s="368"/>
      <c r="X48" s="368"/>
      <c r="Y48" s="368"/>
      <c r="Z48" s="368"/>
      <c r="AA48" s="369"/>
      <c r="AB48" s="367"/>
      <c r="AC48" s="368"/>
      <c r="AD48" s="368"/>
      <c r="AE48" s="368"/>
      <c r="AF48" s="368"/>
      <c r="AG48" s="369"/>
      <c r="AH48" s="367"/>
      <c r="AI48" s="368"/>
      <c r="AJ48" s="368"/>
      <c r="AK48" s="368"/>
      <c r="AL48" s="368"/>
      <c r="AM48" s="369"/>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67"/>
      <c r="K49" s="368"/>
      <c r="L49" s="368"/>
      <c r="M49" s="368"/>
      <c r="N49" s="368"/>
      <c r="O49" s="369"/>
      <c r="P49" s="367"/>
      <c r="Q49" s="368"/>
      <c r="R49" s="368"/>
      <c r="S49" s="368"/>
      <c r="T49" s="368"/>
      <c r="U49" s="369"/>
      <c r="V49" s="367"/>
      <c r="W49" s="368"/>
      <c r="X49" s="368"/>
      <c r="Y49" s="368"/>
      <c r="Z49" s="368"/>
      <c r="AA49" s="369"/>
      <c r="AB49" s="367"/>
      <c r="AC49" s="368"/>
      <c r="AD49" s="368"/>
      <c r="AE49" s="368"/>
      <c r="AF49" s="368"/>
      <c r="AG49" s="369"/>
      <c r="AH49" s="367"/>
      <c r="AI49" s="368"/>
      <c r="AJ49" s="368"/>
      <c r="AK49" s="368"/>
      <c r="AL49" s="368"/>
      <c r="AM49" s="369"/>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67"/>
      <c r="K50" s="368"/>
      <c r="L50" s="368"/>
      <c r="M50" s="368"/>
      <c r="N50" s="368"/>
      <c r="O50" s="369"/>
      <c r="P50" s="367"/>
      <c r="Q50" s="368"/>
      <c r="R50" s="368"/>
      <c r="S50" s="368"/>
      <c r="T50" s="368"/>
      <c r="U50" s="369"/>
      <c r="V50" s="367"/>
      <c r="W50" s="368"/>
      <c r="X50" s="368"/>
      <c r="Y50" s="368"/>
      <c r="Z50" s="368"/>
      <c r="AA50" s="369"/>
      <c r="AB50" s="367"/>
      <c r="AC50" s="368"/>
      <c r="AD50" s="368"/>
      <c r="AE50" s="368"/>
      <c r="AF50" s="368"/>
      <c r="AG50" s="369"/>
      <c r="AH50" s="367"/>
      <c r="AI50" s="368"/>
      <c r="AJ50" s="368"/>
      <c r="AK50" s="368"/>
      <c r="AL50" s="368"/>
      <c r="AM50" s="36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70"/>
      <c r="K51" s="371"/>
      <c r="L51" s="371"/>
      <c r="M51" s="371"/>
      <c r="N51" s="371"/>
      <c r="O51" s="372"/>
      <c r="P51" s="370"/>
      <c r="Q51" s="371"/>
      <c r="R51" s="371"/>
      <c r="S51" s="371"/>
      <c r="T51" s="371"/>
      <c r="U51" s="372"/>
      <c r="V51" s="370"/>
      <c r="W51" s="371"/>
      <c r="X51" s="371"/>
      <c r="Y51" s="371"/>
      <c r="Z51" s="371"/>
      <c r="AA51" s="372"/>
      <c r="AB51" s="370"/>
      <c r="AC51" s="371"/>
      <c r="AD51" s="371"/>
      <c r="AE51" s="371"/>
      <c r="AF51" s="371"/>
      <c r="AG51" s="372"/>
      <c r="AH51" s="370"/>
      <c r="AI51" s="371"/>
      <c r="AJ51" s="371"/>
      <c r="AK51" s="371"/>
      <c r="AL51" s="371"/>
      <c r="AM51" s="372"/>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10" t="s">
        <v>55</v>
      </c>
      <c r="C1" s="410"/>
      <c r="D1" s="410"/>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11" t="s">
        <v>63</v>
      </c>
      <c r="C1" s="411"/>
      <c r="D1" s="411"/>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topLeftCell="A4"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12" t="s">
        <v>78</v>
      </c>
      <c r="C1" s="413"/>
      <c r="D1" s="413"/>
      <c r="E1" s="413"/>
      <c r="F1" s="414"/>
    </row>
    <row r="2" spans="2:6" ht="16.5" thickBot="1" x14ac:dyDescent="0.3">
      <c r="B2" s="86"/>
      <c r="C2" s="86"/>
      <c r="D2" s="86"/>
      <c r="E2" s="86"/>
      <c r="F2" s="86"/>
    </row>
    <row r="3" spans="2:6" ht="16.5" thickBot="1" x14ac:dyDescent="0.25">
      <c r="B3" s="416" t="s">
        <v>64</v>
      </c>
      <c r="C3" s="417"/>
      <c r="D3" s="417"/>
      <c r="E3" s="98" t="s">
        <v>65</v>
      </c>
      <c r="F3" s="99" t="s">
        <v>66</v>
      </c>
    </row>
    <row r="4" spans="2:6" ht="31.5" x14ac:dyDescent="0.2">
      <c r="B4" s="418" t="s">
        <v>67</v>
      </c>
      <c r="C4" s="420" t="s">
        <v>13</v>
      </c>
      <c r="D4" s="87" t="s">
        <v>14</v>
      </c>
      <c r="E4" s="88" t="s">
        <v>68</v>
      </c>
      <c r="F4" s="89">
        <v>0.25</v>
      </c>
    </row>
    <row r="5" spans="2:6" ht="47.25" x14ac:dyDescent="0.2">
      <c r="B5" s="419"/>
      <c r="C5" s="421"/>
      <c r="D5" s="90" t="s">
        <v>15</v>
      </c>
      <c r="E5" s="91" t="s">
        <v>69</v>
      </c>
      <c r="F5" s="92">
        <v>0.15</v>
      </c>
    </row>
    <row r="6" spans="2:6" ht="47.25" x14ac:dyDescent="0.2">
      <c r="B6" s="419"/>
      <c r="C6" s="421"/>
      <c r="D6" s="90" t="s">
        <v>16</v>
      </c>
      <c r="E6" s="91" t="s">
        <v>70</v>
      </c>
      <c r="F6" s="92">
        <v>0.1</v>
      </c>
    </row>
    <row r="7" spans="2:6" ht="63" x14ac:dyDescent="0.2">
      <c r="B7" s="419"/>
      <c r="C7" s="421" t="s">
        <v>17</v>
      </c>
      <c r="D7" s="90" t="s">
        <v>10</v>
      </c>
      <c r="E7" s="91" t="s">
        <v>71</v>
      </c>
      <c r="F7" s="92">
        <v>0.25</v>
      </c>
    </row>
    <row r="8" spans="2:6" ht="31.5" x14ac:dyDescent="0.2">
      <c r="B8" s="419"/>
      <c r="C8" s="421"/>
      <c r="D8" s="90" t="s">
        <v>9</v>
      </c>
      <c r="E8" s="91" t="s">
        <v>72</v>
      </c>
      <c r="F8" s="92">
        <v>0.15</v>
      </c>
    </row>
    <row r="9" spans="2:6" ht="47.25" x14ac:dyDescent="0.2">
      <c r="B9" s="419" t="s">
        <v>162</v>
      </c>
      <c r="C9" s="421" t="s">
        <v>18</v>
      </c>
      <c r="D9" s="90" t="s">
        <v>19</v>
      </c>
      <c r="E9" s="91" t="s">
        <v>73</v>
      </c>
      <c r="F9" s="93" t="s">
        <v>74</v>
      </c>
    </row>
    <row r="10" spans="2:6" ht="63" x14ac:dyDescent="0.2">
      <c r="B10" s="419"/>
      <c r="C10" s="421"/>
      <c r="D10" s="90" t="s">
        <v>20</v>
      </c>
      <c r="E10" s="91" t="s">
        <v>75</v>
      </c>
      <c r="F10" s="93" t="s">
        <v>74</v>
      </c>
    </row>
    <row r="11" spans="2:6" ht="47.25" x14ac:dyDescent="0.2">
      <c r="B11" s="419"/>
      <c r="C11" s="421" t="s">
        <v>21</v>
      </c>
      <c r="D11" s="90" t="s">
        <v>22</v>
      </c>
      <c r="E11" s="91" t="s">
        <v>76</v>
      </c>
      <c r="F11" s="93" t="s">
        <v>74</v>
      </c>
    </row>
    <row r="12" spans="2:6" ht="47.25" x14ac:dyDescent="0.2">
      <c r="B12" s="419"/>
      <c r="C12" s="421"/>
      <c r="D12" s="90" t="s">
        <v>23</v>
      </c>
      <c r="E12" s="91" t="s">
        <v>77</v>
      </c>
      <c r="F12" s="93" t="s">
        <v>74</v>
      </c>
    </row>
    <row r="13" spans="2:6" ht="31.5" x14ac:dyDescent="0.2">
      <c r="B13" s="419"/>
      <c r="C13" s="421" t="s">
        <v>24</v>
      </c>
      <c r="D13" s="90" t="s">
        <v>119</v>
      </c>
      <c r="E13" s="91" t="s">
        <v>122</v>
      </c>
      <c r="F13" s="93" t="s">
        <v>74</v>
      </c>
    </row>
    <row r="14" spans="2:6" ht="32.25" thickBot="1" x14ac:dyDescent="0.25">
      <c r="B14" s="422"/>
      <c r="C14" s="423"/>
      <c r="D14" s="94" t="s">
        <v>120</v>
      </c>
      <c r="E14" s="95" t="s">
        <v>121</v>
      </c>
      <c r="F14" s="96" t="s">
        <v>74</v>
      </c>
    </row>
    <row r="15" spans="2:6" ht="49.5" customHeight="1" x14ac:dyDescent="0.2">
      <c r="B15" s="415" t="s">
        <v>159</v>
      </c>
      <c r="C15" s="415"/>
      <c r="D15" s="415"/>
      <c r="E15" s="415"/>
      <c r="F15" s="415"/>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2023-08-08T17:04:51Z</dcterms:modified>
</cp:coreProperties>
</file>