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24226"/>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22629ACF-5E4F-49EE-9A46-97CCBC5304AC}"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Mapa final" sheetId="1" r:id="rId2"/>
    <sheet name="Matriz Calor Residual" sheetId="19"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1" l="1"/>
  <c r="Q24" i="1"/>
  <c r="AB24" i="1" s="1"/>
  <c r="AA24" i="1" s="1"/>
  <c r="T25" i="1"/>
  <c r="Q25" i="1"/>
  <c r="X29" i="1"/>
  <c r="Z29" i="1" s="1"/>
  <c r="T29" i="1"/>
  <c r="Q29" i="1"/>
  <c r="AB29" i="1" s="1"/>
  <c r="AA29" i="1" s="1"/>
  <c r="Q18" i="1"/>
  <c r="X18" i="1" s="1"/>
  <c r="T18" i="1"/>
  <c r="Q19" i="1"/>
  <c r="T19" i="1"/>
  <c r="Q20" i="1"/>
  <c r="T20" i="1"/>
  <c r="AB25" i="1" l="1"/>
  <c r="AA25" i="1" s="1"/>
  <c r="X24" i="1"/>
  <c r="Y29" i="1"/>
  <c r="AC29" i="1" s="1"/>
  <c r="Y18" i="1"/>
  <c r="Z18" i="1"/>
  <c r="X19" i="1" s="1"/>
  <c r="H16" i="1"/>
  <c r="H22" i="1"/>
  <c r="Q17" i="1"/>
  <c r="Q16" i="1"/>
  <c r="K17" i="1"/>
  <c r="T17" i="1"/>
  <c r="K18" i="1"/>
  <c r="K15" i="1"/>
  <c r="Q15" i="1"/>
  <c r="T15" i="1"/>
  <c r="K14" i="1"/>
  <c r="Q14" i="1"/>
  <c r="T14" i="1"/>
  <c r="Y24" i="1" l="1"/>
  <c r="AC24" i="1" s="1"/>
  <c r="Z24" i="1"/>
  <c r="X25" i="1" s="1"/>
  <c r="Y25" i="1" s="1"/>
  <c r="AC25" i="1" s="1"/>
  <c r="Z19" i="1"/>
  <c r="X20" i="1" s="1"/>
  <c r="Y19" i="1"/>
  <c r="X15" i="1"/>
  <c r="Y15" i="1" s="1"/>
  <c r="AB15" i="1"/>
  <c r="AA15" i="1" s="1"/>
  <c r="T10" i="1"/>
  <c r="Q10" i="1"/>
  <c r="H10" i="1"/>
  <c r="I10" i="1" s="1"/>
  <c r="K55" i="1"/>
  <c r="K52" i="1"/>
  <c r="K50" i="1"/>
  <c r="K30" i="1"/>
  <c r="K62" i="1"/>
  <c r="K42" i="1"/>
  <c r="K53" i="1"/>
  <c r="K47" i="1"/>
  <c r="K29" i="1"/>
  <c r="K37" i="1"/>
  <c r="K41" i="1"/>
  <c r="K27" i="1"/>
  <c r="K34" i="1"/>
  <c r="K56" i="1"/>
  <c r="K40" i="1"/>
  <c r="K49" i="1"/>
  <c r="K38" i="1"/>
  <c r="K24" i="1"/>
  <c r="K58" i="1"/>
  <c r="K43" i="1"/>
  <c r="K59" i="1"/>
  <c r="K36" i="1"/>
  <c r="K21" i="1"/>
  <c r="K19" i="1"/>
  <c r="K48" i="1"/>
  <c r="K31" i="1"/>
  <c r="K26" i="1"/>
  <c r="K32" i="1"/>
  <c r="K20" i="1"/>
  <c r="K35" i="1"/>
  <c r="K60" i="1"/>
  <c r="K23" i="1"/>
  <c r="K61" i="1"/>
  <c r="K46" i="1"/>
  <c r="K25" i="1"/>
  <c r="K44" i="1"/>
  <c r="K54" i="1"/>
  <c r="Z25" i="1" l="1"/>
  <c r="Y20" i="1"/>
  <c r="Z20" i="1"/>
  <c r="Z15" i="1"/>
  <c r="AC15" i="1"/>
  <c r="F221" i="13"/>
  <c r="F211" i="13"/>
  <c r="F212" i="13"/>
  <c r="F213" i="13"/>
  <c r="F214" i="13"/>
  <c r="F215" i="13"/>
  <c r="F216" i="13"/>
  <c r="F217" i="13"/>
  <c r="F218" i="13"/>
  <c r="F219" i="13"/>
  <c r="F220" i="13"/>
  <c r="F210" i="13"/>
  <c r="K11" i="1"/>
  <c r="K12" i="1"/>
  <c r="B221" i="13" a="1"/>
  <c r="K13" i="1"/>
  <c r="B221" i="13" l="1"/>
  <c r="Q45" i="1"/>
  <c r="Q40"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62" i="1" l="1"/>
  <c r="Q62" i="1"/>
  <c r="T61" i="1"/>
  <c r="Q61" i="1"/>
  <c r="T60" i="1"/>
  <c r="Q60" i="1"/>
  <c r="T59" i="1"/>
  <c r="Q59" i="1"/>
  <c r="T58" i="1"/>
  <c r="Q58" i="1"/>
  <c r="T57" i="1"/>
  <c r="Q57" i="1"/>
  <c r="H57" i="1"/>
  <c r="I57" i="1" s="1"/>
  <c r="T56" i="1"/>
  <c r="Q56" i="1"/>
  <c r="T55" i="1"/>
  <c r="Q55" i="1"/>
  <c r="T54" i="1"/>
  <c r="Q54" i="1"/>
  <c r="T53" i="1"/>
  <c r="Q53" i="1"/>
  <c r="T52" i="1"/>
  <c r="Q52" i="1"/>
  <c r="T51" i="1"/>
  <c r="Q51" i="1"/>
  <c r="H51" i="1"/>
  <c r="I51" i="1" s="1"/>
  <c r="T50" i="1"/>
  <c r="Q50" i="1"/>
  <c r="T49" i="1"/>
  <c r="Q49" i="1"/>
  <c r="T48" i="1"/>
  <c r="Q48" i="1"/>
  <c r="T47" i="1"/>
  <c r="Q47" i="1"/>
  <c r="T46" i="1"/>
  <c r="Q46" i="1"/>
  <c r="AB46" i="1" s="1"/>
  <c r="T45" i="1"/>
  <c r="H45" i="1"/>
  <c r="I45" i="1" s="1"/>
  <c r="T44" i="1"/>
  <c r="Q44" i="1"/>
  <c r="T43" i="1"/>
  <c r="Q43" i="1"/>
  <c r="T42" i="1"/>
  <c r="Q42" i="1"/>
  <c r="T41" i="1"/>
  <c r="Q41" i="1"/>
  <c r="T40" i="1"/>
  <c r="T39" i="1"/>
  <c r="Q39" i="1"/>
  <c r="AB40" i="1" s="1"/>
  <c r="H39" i="1"/>
  <c r="I39" i="1" s="1"/>
  <c r="T38" i="1"/>
  <c r="Q38" i="1"/>
  <c r="T37" i="1"/>
  <c r="Q37" i="1"/>
  <c r="T36" i="1"/>
  <c r="Q36" i="1"/>
  <c r="T35" i="1"/>
  <c r="Q35" i="1"/>
  <c r="T34" i="1"/>
  <c r="Q34" i="1"/>
  <c r="T33" i="1"/>
  <c r="Q33" i="1"/>
  <c r="H33" i="1"/>
  <c r="I33" i="1" s="1"/>
  <c r="T32" i="1"/>
  <c r="Q32" i="1"/>
  <c r="T31" i="1"/>
  <c r="Q31" i="1"/>
  <c r="T30" i="1"/>
  <c r="Q30" i="1"/>
  <c r="T28" i="1"/>
  <c r="Q28" i="1"/>
  <c r="H28" i="1"/>
  <c r="I28" i="1" s="1"/>
  <c r="T27" i="1"/>
  <c r="Q27" i="1"/>
  <c r="T26" i="1"/>
  <c r="Q26" i="1"/>
  <c r="T23" i="1"/>
  <c r="Q23" i="1"/>
  <c r="T22" i="1"/>
  <c r="Q22" i="1"/>
  <c r="I22" i="1"/>
  <c r="Q13" i="1"/>
  <c r="T21" i="1"/>
  <c r="Q21" i="1"/>
  <c r="T16" i="1"/>
  <c r="X14" i="1" l="1"/>
  <c r="AB14" i="1"/>
  <c r="AA14" i="1" s="1"/>
  <c r="AB58" i="1"/>
  <c r="AB34" i="1"/>
  <c r="AB52" i="1"/>
  <c r="AB43" i="1"/>
  <c r="AA43" i="1" s="1"/>
  <c r="AB44" i="1"/>
  <c r="AA44" i="1" s="1"/>
  <c r="I16" i="1"/>
  <c r="X16" i="1" s="1"/>
  <c r="X57" i="1"/>
  <c r="X51" i="1"/>
  <c r="X45" i="1"/>
  <c r="X39" i="1"/>
  <c r="X43" i="1"/>
  <c r="X44" i="1"/>
  <c r="X33" i="1"/>
  <c r="X28" i="1"/>
  <c r="X22" i="1"/>
  <c r="Y14" i="1" l="1"/>
  <c r="AC14" i="1" s="1"/>
  <c r="Z14" i="1"/>
  <c r="Y57" i="1"/>
  <c r="Z57" i="1"/>
  <c r="X58" i="1" s="1"/>
  <c r="Y58" i="1" s="1"/>
  <c r="Y51" i="1"/>
  <c r="Z51" i="1"/>
  <c r="X52" i="1" s="1"/>
  <c r="Z52" i="1" s="1"/>
  <c r="X53" i="1" s="1"/>
  <c r="Y45" i="1"/>
  <c r="Z45" i="1"/>
  <c r="X46" i="1" s="1"/>
  <c r="Z46" i="1" s="1"/>
  <c r="X47" i="1" s="1"/>
  <c r="Y44" i="1"/>
  <c r="Z44" i="1"/>
  <c r="Y43" i="1"/>
  <c r="Z43" i="1"/>
  <c r="Y39" i="1"/>
  <c r="Z39" i="1"/>
  <c r="Y33" i="1"/>
  <c r="Z33" i="1"/>
  <c r="Y28" i="1"/>
  <c r="Z28" i="1"/>
  <c r="Y22" i="1"/>
  <c r="Z22" i="1"/>
  <c r="X23" i="1" s="1"/>
  <c r="Y23" i="1" s="1"/>
  <c r="Y16" i="1"/>
  <c r="Z16" i="1"/>
  <c r="X17" i="1" s="1"/>
  <c r="Y17" i="1" l="1"/>
  <c r="Z17" i="1"/>
  <c r="Y52" i="1"/>
  <c r="Y46" i="1"/>
  <c r="Z23" i="1"/>
  <c r="Z53" i="1"/>
  <c r="X54" i="1" s="1"/>
  <c r="Y53" i="1"/>
  <c r="Z47" i="1"/>
  <c r="X48" i="1" s="1"/>
  <c r="Y47" i="1"/>
  <c r="Z58" i="1"/>
  <c r="X59" i="1" s="1"/>
  <c r="X34" i="1"/>
  <c r="X40" i="1"/>
  <c r="X4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3" i="1"/>
  <c r="AC44" i="1"/>
  <c r="T11" i="1"/>
  <c r="T12" i="1"/>
  <c r="T13" i="1"/>
  <c r="Y54" i="1" l="1"/>
  <c r="Z54" i="1"/>
  <c r="Y48" i="1"/>
  <c r="Z48" i="1"/>
  <c r="X49" i="1" s="1"/>
  <c r="Y41" i="1"/>
  <c r="Z41" i="1"/>
  <c r="X42" i="1" s="1"/>
  <c r="Y59" i="1"/>
  <c r="Z59" i="1"/>
  <c r="X60" i="1" s="1"/>
  <c r="Y40" i="1"/>
  <c r="Z40" i="1"/>
  <c r="Y34" i="1"/>
  <c r="Z34" i="1"/>
  <c r="X35" i="1" s="1"/>
  <c r="Y35" i="1" s="1"/>
  <c r="X31" i="1"/>
  <c r="Y31" i="1" s="1"/>
  <c r="X30" i="1"/>
  <c r="Z35" i="1" l="1"/>
  <c r="X36" i="1" s="1"/>
  <c r="Z36" i="1" s="1"/>
  <c r="X37" i="1" s="1"/>
  <c r="Y49" i="1"/>
  <c r="Z49" i="1"/>
  <c r="X50" i="1" s="1"/>
  <c r="X55" i="1"/>
  <c r="X56" i="1"/>
  <c r="Y42" i="1"/>
  <c r="Z42" i="1"/>
  <c r="X26" i="1"/>
  <c r="Z60" i="1"/>
  <c r="Y60" i="1"/>
  <c r="Y30" i="1"/>
  <c r="Z30" i="1"/>
  <c r="Z31" i="1"/>
  <c r="X32" i="1" s="1"/>
  <c r="Q12" i="1"/>
  <c r="Y36" i="1" l="1"/>
  <c r="Y56" i="1"/>
  <c r="Z56" i="1"/>
  <c r="Y55" i="1"/>
  <c r="Z55" i="1"/>
  <c r="Y50" i="1"/>
  <c r="Z50" i="1"/>
  <c r="X61" i="1"/>
  <c r="X62" i="1"/>
  <c r="Z37" i="1"/>
  <c r="X38" i="1" s="1"/>
  <c r="Y37" i="1"/>
  <c r="Y26" i="1"/>
  <c r="Z26" i="1"/>
  <c r="X27" i="1" s="1"/>
  <c r="Y27" i="1" s="1"/>
  <c r="Y32" i="1"/>
  <c r="Z32" i="1"/>
  <c r="X21" i="1"/>
  <c r="X10" i="1"/>
  <c r="Y10" i="1" s="1"/>
  <c r="Y62" i="1" l="1"/>
  <c r="Z62" i="1"/>
  <c r="Y61" i="1"/>
  <c r="Z61" i="1"/>
  <c r="Y38" i="1"/>
  <c r="Z38" i="1"/>
  <c r="Z27" i="1"/>
  <c r="Y21" i="1"/>
  <c r="Z21" i="1"/>
  <c r="Q11" i="1"/>
  <c r="Z10" i="1" l="1"/>
  <c r="X11" i="1" s="1"/>
  <c r="Y11" i="1" l="1"/>
  <c r="Z11" i="1" l="1"/>
  <c r="X12" i="1" s="1"/>
  <c r="Y12" i="1" s="1"/>
  <c r="Z12" i="1" l="1"/>
  <c r="X13" i="1" s="1"/>
  <c r="Z13" i="1" l="1"/>
  <c r="Y13" i="1" l="1"/>
  <c r="AB59" i="1" l="1"/>
  <c r="AB51" i="1"/>
  <c r="AB45" i="1"/>
  <c r="AA45" i="1" s="1"/>
  <c r="AB39" i="1"/>
  <c r="AA39" i="1" s="1"/>
  <c r="AC45"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1" i="1"/>
  <c r="AA58" i="1"/>
  <c r="AA59" i="1"/>
  <c r="AB60" i="1"/>
  <c r="AB35" i="1"/>
  <c r="AA34" i="1"/>
  <c r="V32" i="19"/>
  <c r="P42" i="19"/>
  <c r="J12" i="19"/>
  <c r="J32" i="19"/>
  <c r="AB52" i="19"/>
  <c r="AC39" i="1"/>
  <c r="J22" i="19"/>
  <c r="V22" i="19"/>
  <c r="J52" i="19"/>
  <c r="AH12" i="19"/>
  <c r="J42" i="19"/>
  <c r="AH42" i="19"/>
  <c r="P32" i="19"/>
  <c r="AB12" i="19"/>
  <c r="AH32" i="19"/>
  <c r="AB32" i="19"/>
  <c r="AB42" i="19"/>
  <c r="V42" i="19"/>
  <c r="V12" i="19"/>
  <c r="V52" i="19"/>
  <c r="AB22" i="19"/>
  <c r="AH52" i="19"/>
  <c r="AH22" i="19"/>
  <c r="P22" i="19"/>
  <c r="P12" i="19"/>
  <c r="P52" i="19"/>
  <c r="AB41" i="1"/>
  <c r="AA41" i="1" s="1"/>
  <c r="AB42" i="1"/>
  <c r="AA42" i="1" s="1"/>
  <c r="AA40" i="1"/>
  <c r="AA46" i="1"/>
  <c r="AB47" i="1"/>
  <c r="AA52" i="1"/>
  <c r="AB53" i="1"/>
  <c r="AA60" i="1" l="1"/>
  <c r="AB61" i="1"/>
  <c r="K35" i="19"/>
  <c r="AC25" i="19"/>
  <c r="K45" i="19"/>
  <c r="AI45" i="19"/>
  <c r="W45" i="19"/>
  <c r="Q35" i="19"/>
  <c r="K55" i="19"/>
  <c r="AC15" i="19"/>
  <c r="Q15" i="19"/>
  <c r="AC35" i="19"/>
  <c r="AI35" i="19"/>
  <c r="Q55" i="19"/>
  <c r="AI25" i="19"/>
  <c r="AC58"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2" i="1"/>
  <c r="K44" i="19"/>
  <c r="Q34" i="19"/>
  <c r="W34" i="19"/>
  <c r="K14" i="19"/>
  <c r="W54" i="19"/>
  <c r="K34" i="19"/>
  <c r="AC34" i="19"/>
  <c r="AD55" i="19"/>
  <c r="R15" i="19"/>
  <c r="AJ35" i="19"/>
  <c r="AC59"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1" i="1"/>
  <c r="AD12" i="19"/>
  <c r="AD32" i="19"/>
  <c r="AD22" i="19"/>
  <c r="X52" i="19"/>
  <c r="AD52" i="19"/>
  <c r="L42" i="19"/>
  <c r="R42" i="19"/>
  <c r="AB30" i="1"/>
  <c r="AA47" i="1"/>
  <c r="AB48" i="1"/>
  <c r="K42" i="19"/>
  <c r="AC32" i="19"/>
  <c r="W42" i="19"/>
  <c r="AI52" i="19"/>
  <c r="K22" i="19"/>
  <c r="Q32" i="19"/>
  <c r="AI12" i="19"/>
  <c r="AC52" i="19"/>
  <c r="Q42" i="19"/>
  <c r="AC42" i="19"/>
  <c r="K12" i="19"/>
  <c r="Q22" i="19"/>
  <c r="W52" i="19"/>
  <c r="AI42" i="19"/>
  <c r="W32" i="19"/>
  <c r="AI22" i="19"/>
  <c r="W12" i="19"/>
  <c r="AI32" i="19"/>
  <c r="AC12" i="19"/>
  <c r="Q12" i="19"/>
  <c r="Q52" i="19"/>
  <c r="AC40" i="1"/>
  <c r="K32" i="19"/>
  <c r="W22" i="19"/>
  <c r="K52" i="19"/>
  <c r="AC22" i="19"/>
  <c r="AC40" i="19"/>
  <c r="W10" i="19"/>
  <c r="AC50" i="19"/>
  <c r="Q10" i="19"/>
  <c r="Q30" i="19"/>
  <c r="W50" i="19"/>
  <c r="K40" i="19"/>
  <c r="Q50" i="19"/>
  <c r="W20" i="19"/>
  <c r="AC34" i="1"/>
  <c r="K10" i="19"/>
  <c r="Q40" i="19"/>
  <c r="K30" i="19"/>
  <c r="AI50" i="19"/>
  <c r="AI20" i="19"/>
  <c r="K50" i="19"/>
  <c r="AI40" i="19"/>
  <c r="W40" i="19"/>
  <c r="K20" i="19"/>
  <c r="AC10" i="19"/>
  <c r="AI10" i="19"/>
  <c r="AC20" i="19"/>
  <c r="AI30" i="19"/>
  <c r="AC30" i="19"/>
  <c r="W30" i="19"/>
  <c r="Q20" i="19"/>
  <c r="AA53" i="1"/>
  <c r="AB54" i="1"/>
  <c r="K23" i="19"/>
  <c r="AI43" i="19"/>
  <c r="AC43" i="19"/>
  <c r="AC53" i="19"/>
  <c r="W43" i="19"/>
  <c r="K13" i="19"/>
  <c r="Q53" i="19"/>
  <c r="AI53" i="19"/>
  <c r="K33" i="19"/>
  <c r="K43" i="19"/>
  <c r="AI33" i="19"/>
  <c r="AC33" i="19"/>
  <c r="AC46" i="1"/>
  <c r="Q33" i="19"/>
  <c r="AI23" i="19"/>
  <c r="K53" i="19"/>
  <c r="AC23" i="19"/>
  <c r="AC13" i="19"/>
  <c r="W23" i="19"/>
  <c r="W33" i="19"/>
  <c r="Q13" i="19"/>
  <c r="W13" i="19"/>
  <c r="AI13" i="19"/>
  <c r="Q43" i="19"/>
  <c r="Q23" i="19"/>
  <c r="W53" i="19"/>
  <c r="M12" i="19"/>
  <c r="AK42" i="19"/>
  <c r="AE32" i="19"/>
  <c r="AC42" i="1"/>
  <c r="M52" i="19"/>
  <c r="S12" i="19"/>
  <c r="M32" i="19"/>
  <c r="S52" i="19"/>
  <c r="Y52" i="19"/>
  <c r="Y42" i="19"/>
  <c r="AK12" i="19"/>
  <c r="S22" i="19"/>
  <c r="AE12" i="19"/>
  <c r="Y22" i="19"/>
  <c r="S32" i="19"/>
  <c r="AK52" i="19"/>
  <c r="M22" i="19"/>
  <c r="AK32" i="19"/>
  <c r="AE22" i="19"/>
  <c r="AE42" i="19"/>
  <c r="Y32" i="19"/>
  <c r="M42" i="19"/>
  <c r="Y12" i="19"/>
  <c r="AE52" i="19"/>
  <c r="AK22" i="19"/>
  <c r="S42" i="19"/>
  <c r="AA35" i="1"/>
  <c r="AB36" i="1"/>
  <c r="AB13" i="1"/>
  <c r="AA13" i="1" s="1"/>
  <c r="R40" i="19" l="1"/>
  <c r="AD10" i="19"/>
  <c r="X40" i="19"/>
  <c r="AJ10" i="19"/>
  <c r="R50" i="19"/>
  <c r="X10" i="19"/>
  <c r="R30" i="19"/>
  <c r="AC35" i="1"/>
  <c r="L10" i="19"/>
  <c r="L50" i="19"/>
  <c r="AJ20" i="19"/>
  <c r="AJ40" i="19"/>
  <c r="AD30" i="19"/>
  <c r="R20" i="19"/>
  <c r="AD50" i="19"/>
  <c r="AJ30" i="19"/>
  <c r="AJ50" i="19"/>
  <c r="X30" i="19"/>
  <c r="AD20" i="19"/>
  <c r="L40" i="19"/>
  <c r="X50" i="19"/>
  <c r="X20" i="19"/>
  <c r="AD40" i="19"/>
  <c r="R10" i="19"/>
  <c r="L30" i="19"/>
  <c r="L20" i="19"/>
  <c r="AA48" i="1"/>
  <c r="AB49" i="1"/>
  <c r="AA61" i="1"/>
  <c r="AB62" i="1"/>
  <c r="AA62" i="1" s="1"/>
  <c r="AB26" i="1"/>
  <c r="AA26" i="1" s="1"/>
  <c r="AB27" i="1"/>
  <c r="AA27" i="1" s="1"/>
  <c r="AJ43" i="19"/>
  <c r="AD33" i="19"/>
  <c r="X33" i="19"/>
  <c r="X13" i="19"/>
  <c r="AD43" i="19"/>
  <c r="L43" i="19"/>
  <c r="AC47" i="1"/>
  <c r="X23" i="19"/>
  <c r="R33" i="19"/>
  <c r="R43" i="19"/>
  <c r="AD53" i="19"/>
  <c r="AJ13" i="19"/>
  <c r="R23" i="19"/>
  <c r="R13" i="19"/>
  <c r="AJ53" i="19"/>
  <c r="L33" i="19"/>
  <c r="L23" i="19"/>
  <c r="X43" i="19"/>
  <c r="X53" i="19"/>
  <c r="AD13" i="19"/>
  <c r="L53" i="19"/>
  <c r="L13" i="19"/>
  <c r="AD23" i="19"/>
  <c r="AJ33" i="19"/>
  <c r="AJ23" i="19"/>
  <c r="R53" i="19"/>
  <c r="M55" i="19"/>
  <c r="AK15" i="19"/>
  <c r="AE25" i="19"/>
  <c r="AC60"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54" i="1"/>
  <c r="AB55" i="1"/>
  <c r="AA30" i="1"/>
  <c r="AB31" i="1"/>
  <c r="AA31" i="1" s="1"/>
  <c r="AB32" i="1"/>
  <c r="AA32" i="1" s="1"/>
  <c r="AA36" i="1"/>
  <c r="AB37"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53" i="1"/>
  <c r="X34" i="19"/>
  <c r="L14" i="19"/>
  <c r="AD14" i="19"/>
  <c r="L44" i="19"/>
  <c r="R44" i="19"/>
  <c r="AD54" i="19"/>
  <c r="X14" i="19"/>
  <c r="AJ44" i="19"/>
  <c r="R34" i="19"/>
  <c r="AJ54" i="19"/>
  <c r="L24" i="19"/>
  <c r="AA37" i="1" l="1"/>
  <c r="AB38" i="1"/>
  <c r="AA38" i="1" s="1"/>
  <c r="AG39" i="19"/>
  <c r="AG29" i="19"/>
  <c r="AM19" i="19"/>
  <c r="O39" i="19"/>
  <c r="AC32"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54"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62" i="1"/>
  <c r="AG15" i="19"/>
  <c r="U15" i="19"/>
  <c r="AG55" i="19"/>
  <c r="U55" i="19"/>
  <c r="AE40" i="19"/>
  <c r="Y30" i="19"/>
  <c r="M20" i="19"/>
  <c r="AC36"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1"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1"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0" i="1"/>
  <c r="M9" i="19"/>
  <c r="Y29" i="19"/>
  <c r="AA49" i="1"/>
  <c r="AB50" i="1"/>
  <c r="AA50"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55" i="1"/>
  <c r="AB56" i="1"/>
  <c r="AA56" i="1" s="1"/>
  <c r="AB21" i="1"/>
  <c r="AA21" i="1" s="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6" i="1"/>
  <c r="AA14" i="19"/>
  <c r="O54" i="19"/>
  <c r="U44" i="19"/>
  <c r="U43" i="19"/>
  <c r="U13" i="19"/>
  <c r="AM53" i="19"/>
  <c r="AA53" i="19"/>
  <c r="AA43" i="19"/>
  <c r="O53" i="19"/>
  <c r="O23" i="19"/>
  <c r="O13" i="19"/>
  <c r="AG43" i="19"/>
  <c r="U33" i="19"/>
  <c r="U23" i="19"/>
  <c r="AM13" i="19"/>
  <c r="AM23" i="19"/>
  <c r="AG13" i="19"/>
  <c r="AA23" i="19"/>
  <c r="AG33" i="19"/>
  <c r="AA33" i="19"/>
  <c r="AM33" i="19"/>
  <c r="AA13" i="19"/>
  <c r="AC5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55" i="1"/>
  <c r="AF53" i="19"/>
  <c r="T43" i="19"/>
  <c r="Z53" i="19"/>
  <c r="N43" i="19"/>
  <c r="T23" i="19"/>
  <c r="AF43" i="19"/>
  <c r="Z13" i="19"/>
  <c r="Z43" i="19"/>
  <c r="AF23" i="19"/>
  <c r="AL13" i="19"/>
  <c r="Z23" i="19"/>
  <c r="AL43" i="19"/>
  <c r="AF13" i="19"/>
  <c r="AL23" i="19"/>
  <c r="N13" i="19"/>
  <c r="T33" i="19"/>
  <c r="AL53" i="19"/>
  <c r="N23" i="19"/>
  <c r="N53" i="19"/>
  <c r="AF33" i="19"/>
  <c r="N33" i="19"/>
  <c r="AC49" i="1"/>
  <c r="T53" i="19"/>
  <c r="AL33" i="19"/>
  <c r="T13" i="19"/>
  <c r="Z33" i="19"/>
  <c r="O20" i="19"/>
  <c r="AM40" i="19"/>
  <c r="O30" i="19"/>
  <c r="AM50" i="19"/>
  <c r="AA50" i="19"/>
  <c r="AM30" i="19"/>
  <c r="AM10" i="19"/>
  <c r="AM20" i="19"/>
  <c r="O50" i="19"/>
  <c r="U30" i="19"/>
  <c r="AA10" i="19"/>
  <c r="U40" i="19"/>
  <c r="O40" i="19"/>
  <c r="U20" i="19"/>
  <c r="AC38"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7"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H210" i="13" s="1"/>
  <c r="K10" i="1" l="1"/>
  <c r="L10" i="1" s="1"/>
  <c r="K28" i="1"/>
  <c r="L28" i="1" s="1"/>
  <c r="K22" i="1"/>
  <c r="L22" i="1" s="1"/>
  <c r="K45" i="1"/>
  <c r="L45" i="1" s="1"/>
  <c r="K39" i="1"/>
  <c r="L39" i="1" s="1"/>
  <c r="K33" i="1"/>
  <c r="L33" i="1" s="1"/>
  <c r="K16" i="1"/>
  <c r="L16" i="1" s="1"/>
  <c r="K57" i="1"/>
  <c r="L57" i="1" s="1"/>
  <c r="K51" i="1"/>
  <c r="L51"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3" i="1"/>
  <c r="L32" i="18"/>
  <c r="X8" i="18"/>
  <c r="X24" i="18"/>
  <c r="AJ8" i="18"/>
  <c r="M33" i="1"/>
  <c r="AB33" i="1" s="1"/>
  <c r="AA33" i="1" s="1"/>
  <c r="R40" i="18"/>
  <c r="L40" i="18"/>
  <c r="X16" i="18"/>
  <c r="L24" i="18"/>
  <c r="AJ24" i="18"/>
  <c r="X32" i="18"/>
  <c r="AJ40" i="18"/>
  <c r="R16" i="18"/>
  <c r="AD40" i="18"/>
  <c r="AD32" i="18"/>
  <c r="AD16" i="18"/>
  <c r="M39" i="1"/>
  <c r="J42" i="18"/>
  <c r="P34" i="18"/>
  <c r="AB18" i="18"/>
  <c r="AB42" i="18"/>
  <c r="AH34" i="18"/>
  <c r="P10" i="18"/>
  <c r="V34" i="18"/>
  <c r="P42" i="18"/>
  <c r="V42" i="18"/>
  <c r="AH42" i="18"/>
  <c r="AB26" i="18"/>
  <c r="AH26" i="18"/>
  <c r="V26" i="18"/>
  <c r="AB34" i="18"/>
  <c r="V10" i="18"/>
  <c r="AH18" i="18"/>
  <c r="J34" i="18"/>
  <c r="J10" i="18"/>
  <c r="AB10" i="18"/>
  <c r="J18" i="18"/>
  <c r="N39" i="1"/>
  <c r="P26" i="18"/>
  <c r="J26" i="18"/>
  <c r="AH10" i="18"/>
  <c r="P18" i="18"/>
  <c r="V18" i="18"/>
  <c r="X42" i="18"/>
  <c r="AD34" i="18"/>
  <c r="AD10" i="18"/>
  <c r="AD26" i="18"/>
  <c r="L10" i="18"/>
  <c r="L42" i="18"/>
  <c r="L26" i="18"/>
  <c r="X18" i="18"/>
  <c r="X34" i="18"/>
  <c r="X10" i="18"/>
  <c r="R18" i="18"/>
  <c r="AJ10" i="18"/>
  <c r="AD42" i="18"/>
  <c r="AJ34" i="18"/>
  <c r="R26" i="18"/>
  <c r="M45" i="1"/>
  <c r="L18" i="18"/>
  <c r="AJ26" i="18"/>
  <c r="AD18" i="18"/>
  <c r="R34" i="18"/>
  <c r="L34" i="18"/>
  <c r="AJ42" i="18"/>
  <c r="R10" i="18"/>
  <c r="R42" i="18"/>
  <c r="X26" i="18"/>
  <c r="AJ18" i="18"/>
  <c r="N45"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1" i="1"/>
  <c r="Z34" i="18"/>
  <c r="T10" i="18"/>
  <c r="N51" i="1"/>
  <c r="AL42" i="18"/>
  <c r="N34" i="18"/>
  <c r="T42" i="18"/>
  <c r="P14" i="18"/>
  <c r="V22" i="18"/>
  <c r="V14" i="18"/>
  <c r="P22" i="18"/>
  <c r="V38" i="18"/>
  <c r="AH14" i="18"/>
  <c r="AH38" i="18"/>
  <c r="J14" i="18"/>
  <c r="AB22" i="18"/>
  <c r="V30" i="18"/>
  <c r="AB14" i="18"/>
  <c r="AB38" i="18"/>
  <c r="J30" i="18"/>
  <c r="P38" i="18"/>
  <c r="AB6" i="18"/>
  <c r="M10" i="1"/>
  <c r="AB10" i="1" s="1"/>
  <c r="AB12" i="1" s="1"/>
  <c r="AA12" i="1" s="1"/>
  <c r="AH30" i="18"/>
  <c r="J38" i="18"/>
  <c r="AH6" i="18"/>
  <c r="V6" i="18"/>
  <c r="AB30" i="18"/>
  <c r="J22" i="18"/>
  <c r="J6" i="18"/>
  <c r="P30" i="18"/>
  <c r="AH22" i="18"/>
  <c r="P6" i="18"/>
  <c r="N10" i="1"/>
  <c r="AH12" i="18"/>
  <c r="J20" i="18"/>
  <c r="J44" i="18"/>
  <c r="AB28" i="18"/>
  <c r="P28" i="18"/>
  <c r="N57" i="1"/>
  <c r="P12" i="18"/>
  <c r="AH20" i="18"/>
  <c r="P44" i="18"/>
  <c r="AB12" i="18"/>
  <c r="P20" i="18"/>
  <c r="J36" i="18"/>
  <c r="P36" i="18"/>
  <c r="AB44" i="18"/>
  <c r="V44" i="18"/>
  <c r="J28" i="18"/>
  <c r="AH36" i="18"/>
  <c r="V12" i="18"/>
  <c r="V28" i="18"/>
  <c r="AH44" i="18"/>
  <c r="AB20" i="18"/>
  <c r="AB36" i="18"/>
  <c r="AH28" i="18"/>
  <c r="V36" i="18"/>
  <c r="V20" i="18"/>
  <c r="M57" i="1"/>
  <c r="AB57" i="1" s="1"/>
  <c r="AA57"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B17" i="1" l="1"/>
  <c r="AA16" i="1"/>
  <c r="V7" i="19" s="1"/>
  <c r="P41" i="19"/>
  <c r="J40" i="19"/>
  <c r="J50" i="19"/>
  <c r="J10" i="19"/>
  <c r="V40" i="19"/>
  <c r="V30" i="19"/>
  <c r="AB40" i="19"/>
  <c r="AB20" i="19"/>
  <c r="AB30" i="19"/>
  <c r="AH20" i="19"/>
  <c r="P30" i="19"/>
  <c r="AH50" i="19"/>
  <c r="J30" i="19"/>
  <c r="V50" i="19"/>
  <c r="AC33" i="1"/>
  <c r="V20" i="19"/>
  <c r="P50" i="19"/>
  <c r="V10" i="19"/>
  <c r="AH10" i="19"/>
  <c r="AB10" i="19"/>
  <c r="P20" i="19"/>
  <c r="AB50" i="19"/>
  <c r="P40" i="19"/>
  <c r="P10" i="19"/>
  <c r="AH30" i="19"/>
  <c r="J20" i="19"/>
  <c r="AH40" i="19"/>
  <c r="AA28" i="1"/>
  <c r="V39" i="19" s="1"/>
  <c r="AA22" i="1"/>
  <c r="P38" i="19" s="1"/>
  <c r="AB23" i="1"/>
  <c r="AA23" i="1" s="1"/>
  <c r="L36" i="19"/>
  <c r="AJ6" i="19"/>
  <c r="X26" i="19"/>
  <c r="R46" i="19"/>
  <c r="X46" i="19"/>
  <c r="X16" i="19"/>
  <c r="AD36" i="19"/>
  <c r="AJ36" i="19"/>
  <c r="X36" i="19"/>
  <c r="AD46" i="19"/>
  <c r="AJ26" i="19"/>
  <c r="R26" i="19"/>
  <c r="AC12" i="1"/>
  <c r="L46" i="19"/>
  <c r="AD26" i="19"/>
  <c r="AD6" i="19"/>
  <c r="R36" i="19"/>
  <c r="L26" i="19"/>
  <c r="AJ46" i="19"/>
  <c r="R16" i="19"/>
  <c r="X6" i="19"/>
  <c r="L16" i="19"/>
  <c r="L6" i="19"/>
  <c r="AD16" i="19"/>
  <c r="AJ16" i="19"/>
  <c r="R6" i="19"/>
  <c r="AA10" i="1"/>
  <c r="P16" i="19" s="1"/>
  <c r="AB11" i="1"/>
  <c r="AA11" i="1" s="1"/>
  <c r="V25" i="19"/>
  <c r="V45" i="19"/>
  <c r="J15" i="19"/>
  <c r="AB45" i="19"/>
  <c r="AH25" i="19"/>
  <c r="AH55" i="19"/>
  <c r="AB15" i="19"/>
  <c r="P15" i="19"/>
  <c r="P45" i="19"/>
  <c r="V15" i="19"/>
  <c r="J35" i="19"/>
  <c r="AH45" i="19"/>
  <c r="J25" i="19"/>
  <c r="AB35" i="19"/>
  <c r="AH15" i="19"/>
  <c r="V35" i="19"/>
  <c r="J55" i="19"/>
  <c r="AB55" i="19"/>
  <c r="AC57" i="1"/>
  <c r="AB25" i="19"/>
  <c r="AH35" i="19"/>
  <c r="P55" i="19"/>
  <c r="J45" i="19"/>
  <c r="P25" i="19"/>
  <c r="P35" i="19"/>
  <c r="V55" i="19"/>
  <c r="AA17" i="1" l="1"/>
  <c r="AC17" i="1" s="1"/>
  <c r="AB18" i="1"/>
  <c r="AH17" i="19"/>
  <c r="AH47" i="19"/>
  <c r="V37" i="19"/>
  <c r="P37" i="19"/>
  <c r="AB37" i="19"/>
  <c r="J47" i="19"/>
  <c r="J17" i="19"/>
  <c r="J27" i="19"/>
  <c r="AB47" i="19"/>
  <c r="J7" i="19"/>
  <c r="P47" i="19"/>
  <c r="AB7" i="19"/>
  <c r="J37" i="19"/>
  <c r="AH37" i="19"/>
  <c r="AH7" i="19"/>
  <c r="P27" i="19"/>
  <c r="AH27" i="19"/>
  <c r="AB27" i="19"/>
  <c r="P17" i="19"/>
  <c r="V27" i="19"/>
  <c r="V17" i="19"/>
  <c r="AB17" i="19"/>
  <c r="V47" i="19"/>
  <c r="P7" i="19"/>
  <c r="AC16" i="1"/>
  <c r="W37" i="19"/>
  <c r="AC37" i="19"/>
  <c r="K7" i="19"/>
  <c r="AI7" i="19"/>
  <c r="AI37" i="19"/>
  <c r="Q17" i="19"/>
  <c r="W17" i="19"/>
  <c r="W27" i="19"/>
  <c r="AC17" i="19"/>
  <c r="Q47" i="19"/>
  <c r="K37" i="19"/>
  <c r="W7" i="19"/>
  <c r="AC7" i="19"/>
  <c r="AI17" i="19"/>
  <c r="W47" i="19"/>
  <c r="K47" i="19"/>
  <c r="Q37" i="19"/>
  <c r="AI47" i="19"/>
  <c r="AI27" i="19"/>
  <c r="AC47" i="19"/>
  <c r="Q27" i="19"/>
  <c r="Q7" i="19"/>
  <c r="AC27" i="19"/>
  <c r="K27" i="19"/>
  <c r="K17" i="19"/>
  <c r="V41" i="19"/>
  <c r="V21" i="19"/>
  <c r="P31" i="19"/>
  <c r="P51" i="19"/>
  <c r="J21" i="19"/>
  <c r="AH41" i="19"/>
  <c r="V11" i="19"/>
  <c r="V31" i="19"/>
  <c r="P21" i="19"/>
  <c r="AB31" i="19"/>
  <c r="V51" i="19"/>
  <c r="J31" i="19"/>
  <c r="AB21" i="19"/>
  <c r="J41" i="19"/>
  <c r="AB41" i="19"/>
  <c r="AH51" i="19"/>
  <c r="AB11" i="19"/>
  <c r="AH11" i="19"/>
  <c r="AH31" i="19"/>
  <c r="J51" i="19"/>
  <c r="J11" i="19"/>
  <c r="AH21" i="19"/>
  <c r="AB51" i="19"/>
  <c r="P11" i="19"/>
  <c r="K21" i="19"/>
  <c r="AB9" i="19"/>
  <c r="AH49" i="19"/>
  <c r="J19" i="19"/>
  <c r="V19" i="19"/>
  <c r="P19" i="19"/>
  <c r="P29" i="19"/>
  <c r="J29" i="19"/>
  <c r="P9" i="19"/>
  <c r="AB39" i="19"/>
  <c r="AH39" i="19"/>
  <c r="AH19" i="19"/>
  <c r="AH9" i="19"/>
  <c r="V29" i="19"/>
  <c r="P39" i="19"/>
  <c r="AB49" i="19"/>
  <c r="Q9" i="19"/>
  <c r="P49" i="19"/>
  <c r="V49" i="19"/>
  <c r="J9" i="19"/>
  <c r="AB19" i="19"/>
  <c r="AC28" i="1"/>
  <c r="V9" i="19"/>
  <c r="J49" i="19"/>
  <c r="AH29" i="19"/>
  <c r="J39" i="19"/>
  <c r="AB29" i="19"/>
  <c r="AB28" i="19"/>
  <c r="AH18" i="19"/>
  <c r="AH8" i="19"/>
  <c r="V8" i="19"/>
  <c r="J18" i="19"/>
  <c r="AB38" i="19"/>
  <c r="V48" i="19"/>
  <c r="AB18" i="19"/>
  <c r="V38" i="19"/>
  <c r="AB8" i="19"/>
  <c r="AH38" i="19"/>
  <c r="P28" i="19"/>
  <c r="J48" i="19"/>
  <c r="AC22" i="1"/>
  <c r="J28" i="19"/>
  <c r="P18" i="19"/>
  <c r="J8" i="19"/>
  <c r="J38" i="19"/>
  <c r="P48" i="19"/>
  <c r="AH28" i="19"/>
  <c r="V18" i="19"/>
  <c r="V28" i="19"/>
  <c r="P8" i="19"/>
  <c r="AH48" i="19"/>
  <c r="AB48" i="19"/>
  <c r="AC8" i="19"/>
  <c r="AI8" i="19"/>
  <c r="AC38" i="19"/>
  <c r="AI48" i="19"/>
  <c r="Q8" i="19"/>
  <c r="AC48" i="19"/>
  <c r="AI28" i="19"/>
  <c r="W48" i="19"/>
  <c r="AI38" i="19"/>
  <c r="AI18" i="19"/>
  <c r="AC18" i="19"/>
  <c r="W18" i="19"/>
  <c r="Q48" i="19"/>
  <c r="Q28" i="19"/>
  <c r="K38" i="19"/>
  <c r="Q38" i="19"/>
  <c r="K18" i="19"/>
  <c r="K28" i="19"/>
  <c r="K8" i="19"/>
  <c r="W28" i="19"/>
  <c r="W8" i="19"/>
  <c r="K48" i="19"/>
  <c r="AC23" i="1"/>
  <c r="W38" i="19"/>
  <c r="AC28" i="19"/>
  <c r="Q18" i="19"/>
  <c r="AB6" i="19"/>
  <c r="P26" i="19"/>
  <c r="V16" i="19"/>
  <c r="P36" i="19"/>
  <c r="J46" i="19"/>
  <c r="AC10" i="1"/>
  <c r="AH36" i="19"/>
  <c r="J16" i="19"/>
  <c r="J36" i="19"/>
  <c r="AB26" i="19"/>
  <c r="V26" i="19"/>
  <c r="AB36" i="19"/>
  <c r="V6" i="19"/>
  <c r="AH16" i="19"/>
  <c r="P46" i="19"/>
  <c r="J26" i="19"/>
  <c r="V36" i="19"/>
  <c r="J6" i="19"/>
  <c r="AB16" i="19"/>
  <c r="AB46" i="19"/>
  <c r="AH46" i="19"/>
  <c r="P6" i="19"/>
  <c r="AH26" i="19"/>
  <c r="V46" i="19"/>
  <c r="AH6" i="19"/>
  <c r="W36" i="19"/>
  <c r="AC36" i="19"/>
  <c r="K16" i="19"/>
  <c r="K46" i="19"/>
  <c r="AI46" i="19"/>
  <c r="AC46" i="19"/>
  <c r="K36" i="19"/>
  <c r="Q46" i="19"/>
  <c r="AC26" i="19"/>
  <c r="AC16" i="19"/>
  <c r="W16" i="19"/>
  <c r="AC11" i="1"/>
  <c r="Q6" i="19"/>
  <c r="K6" i="19"/>
  <c r="Q16" i="19"/>
  <c r="W46" i="19"/>
  <c r="AI6" i="19"/>
  <c r="AI16" i="19"/>
  <c r="Q36" i="19"/>
  <c r="W6" i="19"/>
  <c r="W26" i="19"/>
  <c r="K26" i="19"/>
  <c r="AI36" i="19"/>
  <c r="AI26" i="19"/>
  <c r="AC6" i="19"/>
  <c r="Q26" i="19"/>
  <c r="AA18" i="1" l="1"/>
  <c r="AB19" i="1"/>
  <c r="AC51" i="19"/>
  <c r="AI31" i="19"/>
  <c r="AC11" i="19"/>
  <c r="K41" i="19"/>
  <c r="W11" i="19"/>
  <c r="Q31" i="19"/>
  <c r="AI51" i="19"/>
  <c r="AC21" i="19"/>
  <c r="AI21" i="19"/>
  <c r="Q11" i="19"/>
  <c r="Q41" i="19"/>
  <c r="AC31" i="19"/>
  <c r="K31" i="19"/>
  <c r="AI11" i="19"/>
  <c r="Q21" i="19"/>
  <c r="W21" i="19"/>
  <c r="AI41" i="19"/>
  <c r="W51" i="19"/>
  <c r="AC41" i="19"/>
  <c r="K11" i="19"/>
  <c r="Q51" i="19"/>
  <c r="K51" i="19"/>
  <c r="W41" i="19"/>
  <c r="W31" i="19"/>
  <c r="R21" i="19"/>
  <c r="L11" i="19"/>
  <c r="X31" i="19"/>
  <c r="AD41" i="19"/>
  <c r="X51" i="19"/>
  <c r="X11" i="19"/>
  <c r="AJ11" i="19"/>
  <c r="X21" i="19"/>
  <c r="X41" i="19"/>
  <c r="AJ51" i="19"/>
  <c r="R11" i="19"/>
  <c r="AJ31" i="19"/>
  <c r="R31" i="19"/>
  <c r="AD51" i="19"/>
  <c r="L41" i="19"/>
  <c r="AJ41" i="19"/>
  <c r="R41" i="19"/>
  <c r="AJ21" i="19"/>
  <c r="AD11" i="19"/>
  <c r="L31" i="19"/>
  <c r="AD21" i="19"/>
  <c r="AD31" i="19"/>
  <c r="L21" i="19"/>
  <c r="R51" i="19"/>
  <c r="L51" i="19"/>
  <c r="W49" i="19"/>
  <c r="AI49" i="19"/>
  <c r="AC19" i="19"/>
  <c r="AI19" i="19"/>
  <c r="K49" i="19"/>
  <c r="W29" i="19"/>
  <c r="K9" i="19"/>
  <c r="K39" i="19"/>
  <c r="K19" i="19"/>
  <c r="W9" i="19"/>
  <c r="W19" i="19"/>
  <c r="AI29" i="19"/>
  <c r="Q39" i="19"/>
  <c r="K29" i="19"/>
  <c r="AI9" i="19"/>
  <c r="Q29" i="19"/>
  <c r="AI39" i="19"/>
  <c r="AC39" i="19"/>
  <c r="AC9" i="19"/>
  <c r="Q49" i="19"/>
  <c r="W39" i="19"/>
  <c r="Q19" i="19"/>
  <c r="AC29" i="19"/>
  <c r="AC49" i="19"/>
  <c r="X49" i="19"/>
  <c r="L9" i="19"/>
  <c r="AJ19" i="19"/>
  <c r="AD49" i="19"/>
  <c r="X9" i="19"/>
  <c r="AJ9" i="19"/>
  <c r="X39" i="19"/>
  <c r="AD39" i="19"/>
  <c r="AD9" i="19"/>
  <c r="R29" i="19"/>
  <c r="AJ49" i="19"/>
  <c r="L19" i="19"/>
  <c r="AD29" i="19"/>
  <c r="L49" i="19"/>
  <c r="L29" i="19"/>
  <c r="AJ29" i="19"/>
  <c r="L39" i="19"/>
  <c r="AD19" i="19"/>
  <c r="X19" i="19"/>
  <c r="R19" i="19"/>
  <c r="R49" i="19"/>
  <c r="X29" i="19"/>
  <c r="R9" i="19"/>
  <c r="R39" i="19"/>
  <c r="AJ39" i="19"/>
  <c r="AA19" i="1" l="1"/>
  <c r="AB20" i="1"/>
  <c r="AA20" i="1" s="1"/>
  <c r="AC18" i="1"/>
  <c r="X37" i="19"/>
  <c r="X27" i="19"/>
  <c r="X47" i="19"/>
  <c r="X17" i="19"/>
  <c r="AD47" i="19"/>
  <c r="AJ37" i="19"/>
  <c r="R27" i="19"/>
  <c r="AD17" i="19"/>
  <c r="L7" i="19"/>
  <c r="R7" i="19"/>
  <c r="AJ47" i="19"/>
  <c r="R47" i="19"/>
  <c r="R17" i="19"/>
  <c r="AJ17" i="19"/>
  <c r="L37" i="19"/>
  <c r="AJ27" i="19"/>
  <c r="AD37" i="19"/>
  <c r="L47" i="19"/>
  <c r="L17" i="19"/>
  <c r="R37" i="19"/>
  <c r="AD27" i="19"/>
  <c r="AD7" i="19"/>
  <c r="L27" i="19"/>
  <c r="X7" i="19"/>
  <c r="AJ7" i="19"/>
  <c r="AC20" i="1" l="1"/>
  <c r="Z17" i="19"/>
  <c r="Z27" i="19"/>
  <c r="N7" i="19"/>
  <c r="Z7" i="19"/>
  <c r="AF7" i="19"/>
  <c r="AL7" i="19"/>
  <c r="T37" i="19"/>
  <c r="AF37" i="19"/>
  <c r="AL17" i="19"/>
  <c r="T7" i="19"/>
  <c r="N17" i="19"/>
  <c r="AF17" i="19"/>
  <c r="T17" i="19"/>
  <c r="AF27" i="19"/>
  <c r="AL27" i="19"/>
  <c r="T27" i="19"/>
  <c r="N47" i="19"/>
  <c r="AF47" i="19"/>
  <c r="N27" i="19"/>
  <c r="Z37" i="19"/>
  <c r="AL47" i="19"/>
  <c r="T47" i="19"/>
  <c r="Z47" i="19"/>
  <c r="AL37" i="19"/>
  <c r="N37" i="19"/>
  <c r="AC19" i="1"/>
  <c r="M17" i="19"/>
  <c r="S47" i="19"/>
  <c r="S27" i="19"/>
  <c r="AE17" i="19"/>
  <c r="M7" i="19"/>
  <c r="M47" i="19"/>
  <c r="AK27" i="19"/>
  <c r="M37" i="19"/>
  <c r="Y7" i="19"/>
  <c r="S17" i="19"/>
  <c r="Y37" i="19"/>
  <c r="AK7" i="19"/>
  <c r="AE37" i="19"/>
  <c r="AK47" i="19"/>
  <c r="AK17" i="19"/>
  <c r="Y27" i="19"/>
  <c r="AK37" i="19"/>
  <c r="Y17" i="19"/>
  <c r="S37" i="19"/>
  <c r="AE47" i="19"/>
  <c r="AE27" i="19"/>
  <c r="Y47" i="19"/>
  <c r="AE7" i="19"/>
  <c r="S7" i="19"/>
  <c r="M27" i="19"/>
</calcChain>
</file>

<file path=xl/sharedStrings.xml><?xml version="1.0" encoding="utf-8"?>
<sst xmlns="http://schemas.openxmlformats.org/spreadsheetml/2006/main" count="507" uniqueCount="271">
  <si>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</si>
  <si>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</si>
  <si>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</si>
  <si>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</si>
  <si>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</si>
  <si>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</si>
  <si>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</si>
  <si>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</si>
  <si>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</si>
  <si>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</si>
  <si>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</si>
  <si>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</si>
  <si>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</si>
  <si>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</si>
  <si>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</si>
  <si>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</si>
  <si>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</si>
  <si>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</si>
  <si>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</si>
  <si>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</si>
  <si>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</si>
  <si>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</si>
  <si>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</si>
  <si>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</si>
  <si>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</si>
  <si>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</si>
  <si>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</si>
  <si>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</si>
  <si>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</si>
  <si>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</si>
  <si>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</si>
  <si>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</si>
  <si>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</si>
  <si>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</si>
  <si>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</si>
  <si>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</si>
  <si>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</si>
  <si>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</si>
  <si>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</si>
  <si>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</si>
  <si>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</si>
  <si>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</si>
  <si>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</si>
  <si>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</si>
  <si>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</si>
  <si>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</si>
  <si>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</si>
  <si>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</si>
  <si>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</si>
  <si>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</si>
  <si>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</si>
  <si>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</si>
  <si>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</si>
  <si>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</si>
  <si>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</si>
  <si>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</si>
  <si>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</si>
  <si>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</si>
  <si>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</si>
  <si>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</si>
  <si>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</si>
  <si>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</si>
  <si>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</si>
  <si>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</si>
  <si>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</si>
  <si>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</si>
  <si>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</si>
  <si>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</si>
  <si>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</si>
  <si>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</si>
  <si>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</si>
  <si>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</si>
  <si>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</si>
  <si>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</si>
  <si>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</si>
  <si>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</si>
  <si>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</si>
  <si>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</si>
  <si>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</si>
  <si>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</si>
  <si>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</si>
  <si>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</si>
  <si>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</si>
  <si>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</si>
  <si>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</si>
  <si>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</si>
  <si>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</si>
  <si>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</si>
  <si>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</si>
  <si>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</si>
  <si>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</si>
  <si>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</si>
  <si>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</si>
  <si>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</si>
  <si>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</si>
  <si>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</si>
  <si>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</si>
  <si>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</si>
  <si>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</si>
  <si>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</si>
  <si>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</si>
  <si>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</si>
  <si>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</si>
  <si>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</si>
  <si>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</si>
  <si>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</si>
  <si>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</si>
  <si>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</si>
  <si>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</si>
  <si>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</si>
  <si>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</si>
  <si>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</si>
  <si>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</si>
  <si>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</si>
  <si>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</si>
  <si>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</si>
  <si>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</si>
  <si>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</si>
  <si>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</si>
  <si>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</si>
  <si>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</si>
  <si>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</si>
  <si>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</si>
  <si>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</si>
  <si>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</si>
  <si>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</si>
  <si>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</si>
  <si>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</si>
  <si>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</si>
  <si>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</si>
  <si>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</si>
  <si>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</si>
  <si>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</si>
  <si>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</si>
  <si>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</si>
  <si>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</si>
  <si>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</si>
  <si>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</si>
  <si>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</si>
  <si>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</si>
  <si>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</si>
  <si>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</si>
  <si>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</si>
  <si>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</si>
  <si>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</si>
  <si>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</si>
  <si>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</si>
  <si>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</si>
  <si>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</si>
  <si>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</si>
  <si>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</si>
  <si>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</si>
  <si>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</si>
  <si>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</si>
  <si>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</si>
  <si>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</si>
  <si>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</si>
  <si>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</si>
  <si>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</si>
  <si>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</si>
  <si>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</si>
  <si>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</si>
  <si>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</si>
  <si>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</si>
  <si>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</si>
  <si>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</si>
  <si>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</si>
  <si>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</si>
  <si>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</si>
  <si>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</si>
  <si>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</si>
  <si>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</si>
  <si>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</si>
  <si>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</si>
  <si>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</si>
  <si>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</si>
  <si>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</si>
  <si>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</si>
  <si>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</si>
  <si>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</si>
  <si>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</si>
  <si>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</si>
  <si>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</si>
  <si>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</si>
  <si>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</si>
  <si>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</si>
  <si>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</si>
  <si>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</si>
  <si>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</si>
  <si>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</si>
  <si>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</si>
  <si>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</si>
  <si>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</si>
  <si>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</si>
  <si>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</si>
  <si>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</si>
  <si>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</si>
  <si>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</si>
  <si>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</si>
  <si>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</si>
  <si>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</si>
  <si>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</si>
  <si>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</si>
  <si>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</si>
  <si>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</si>
  <si>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</si>
  <si>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</si>
  <si>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</si>
  <si>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</si>
  <si>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</si>
  <si>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</si>
  <si>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</si>
  <si>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</si>
  <si>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</si>
  <si>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</si>
  <si>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</si>
  <si>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 xml:space="preserve">
</t>
  </si>
  <si>
    <t xml:space="preserve">Multa o sancion del ente regulador </t>
  </si>
  <si>
    <t>Multa o sancion del ente regulador</t>
  </si>
  <si>
    <t>Trimestral</t>
  </si>
  <si>
    <t>Semestral</t>
  </si>
  <si>
    <t>Adelantar los procesos y procedimientos de contratación, por medio del cumplimiento de la normatividad vigente y los principios de la contratación estatal, así como los atributos de calidad, oportunidad y legalidad, para la adquisición de bienes y servicios, con el propósito de satisfacer las necesidades que requieren las dependencias y cumplir con el Plan de Contratación de la Entidad, orientado al uso racional y estratégico de los recursos en cumplimiento de los objetivos institucionales y de la misión de la Entidad.</t>
  </si>
  <si>
    <t>Inicia con la verificación del plan de adquisiciones, Plan de contratación, y la revisión, análisis y ajustes del Estudio de mercado, Estudio del Sector y Estudios previos, continua con el desarrollo del procedimiento y modalidad de selección (Licitación Pública, Concurso de Méritos, Selección Abreviada de menor Cuantía, Subasta inversa, acuerdo marco de precios Invitación de Mínima Cuantía, Contratación Directa (Contrato o Convenio), incluye la adjudicación del proceso de selección, firma del contrato, verificación de cumplimiento de los requisitos de ejecución, y culmina con el control y seguimiento hasta su correspondiente liquidación en caso que aplique (conforme la normativa).</t>
  </si>
  <si>
    <t>Sancion del ente regulador</t>
  </si>
  <si>
    <t>Evidencia Control</t>
  </si>
  <si>
    <t xml:space="preserve">El Grupo Contractual  adelatarán capacitaciones a los funcionarios y contratistas de la Unidad en la supervisión y seguimiento de contratos. 
</t>
  </si>
  <si>
    <t>Mejora continua</t>
  </si>
  <si>
    <t xml:space="preserve">Debilidad en el proceso de planeación de la evaluación independiente, en cuanto a cobertura, objetivos y alcance. Deficiencia en la evaluación y seguimiento de la efectividad de los controles de los procesos y procedimientos por parte del auditor. No ejecutar la planeación de auditoria en observancia de las normas de auditoría, o no ejecutarla en su totalidad. No contar con el personal mínimo requerido, o con auditores sin las competencias requeridas. </t>
  </si>
  <si>
    <t>Desconocimiento de los informes o seguimientos legalmente establecidos. Falta de seguimiento al cronograma de presentación de informes y seguimientos. Dificultades en la recolección de información. Falta de capacitación de los auditores en la presentación de informes y realización de seguimientos</t>
  </si>
  <si>
    <t xml:space="preserve">No hay acompañamiento en las dependencias para la identificación de falencias y fallas en los procesos. Deficiencia en el seguimiento y evaluación de la formulación e implementación de los planes de mejoramiento. </t>
  </si>
  <si>
    <t>Los controles sugeridos no son los adecuados para la mitigación del riesgo identificado</t>
  </si>
  <si>
    <t xml:space="preserve">Posibilidad de afectación económica y reputacional por no evidenciar dentro del proceso de auditoria, situaciones relevantes que afecten negativamente el normal y adecuado desarrollo de la operación de la entidad </t>
  </si>
  <si>
    <t xml:space="preserve">Posibilidad de afectación económica y reputacional por no presentar los informes y seguimientos legalmente establecidos, presentarlos de manera parcial o extemporánea 
</t>
  </si>
  <si>
    <t>Posibilidad de afectación económica y reputacional por no formular Planes de mejoramiento con alcance suficiente</t>
  </si>
  <si>
    <t xml:space="preserve">Posibilidad de afectación económica y reputacional por inefectividad de Controles en la Administración de Riesgos
</t>
  </si>
  <si>
    <t xml:space="preserve">Elaborar el plan de  auditoria basada en el análisis de riesgo y antecedentes relevantes de la entidad 
</t>
  </si>
  <si>
    <t>Presentar para aprobación del Comité Institucional de Coordinación de Control Interno el plan de auditoria</t>
  </si>
  <si>
    <t>Documentar en papeles de trabajo el trabajo realizado por el auditor</t>
  </si>
  <si>
    <t>Revisar informe antes de su presentación</t>
  </si>
  <si>
    <t>Vincular al equipo de Control interno personal el personal necesario que cuente con las capacidades profesionales y personales requeridos</t>
  </si>
  <si>
    <t>Actualizar de manera permanente  el inventario de los informes y seguimientos legalmente establecidos.</t>
  </si>
  <si>
    <t>Realizar seguimiento al cronograma  para la presentación de informes y realización de seguimientos.</t>
  </si>
  <si>
    <t>Solicitar por escrito la información requerida</t>
  </si>
  <si>
    <t>Vincular al equipo de Control interno el personal necesario que cuente con las capacidades profesionales y personales requeridos</t>
  </si>
  <si>
    <t>Realizar el acompañamiento a las dependencias de la Unidad en la construcción de las herramientas de autocontrol (Plan de Mejoramiento - Plan de Acción - Mapas de Riesgos).</t>
  </si>
  <si>
    <t xml:space="preserve">El asesor de planeación como segunda línea de defensa realiza el seguimiento a los diferentes planes de mejoramiento de su competencia. </t>
  </si>
  <si>
    <t>Realizar el seguimiento periódico a los controles proyectados en los mapas de riesgos (Primera y Segunda línea de defensa).</t>
  </si>
  <si>
    <t>Plan de auditoria</t>
  </si>
  <si>
    <t>acta CICCI</t>
  </si>
  <si>
    <t>papeles de trabajo</t>
  </si>
  <si>
    <t>informe preliminar</t>
  </si>
  <si>
    <t>estudios previos</t>
  </si>
  <si>
    <t>inventario de informes</t>
  </si>
  <si>
    <t xml:space="preserve">Control de la presentación de informes </t>
  </si>
  <si>
    <t>Correo electrónico-oficio</t>
  </si>
  <si>
    <t>Correos Electrónicos - Planes de Mejoramiento - Plan de Acción</t>
  </si>
  <si>
    <t>Correos de Seguimiento/Plan de Mejoramiento con seguimiento</t>
  </si>
  <si>
    <t>Seguimiento mapa de riesgos institucional.</t>
  </si>
  <si>
    <t>Asesor Control Interno</t>
  </si>
  <si>
    <t>Asesor Planeación</t>
  </si>
  <si>
    <t>Anual</t>
  </si>
  <si>
    <t xml:space="preserve">Anual
</t>
  </si>
  <si>
    <r>
      <t>Código:</t>
    </r>
    <r>
      <rPr>
        <sz val="8"/>
        <color rgb="FF000000"/>
        <rFont val="Arial Narrow"/>
        <family val="2"/>
      </rPr>
      <t xml:space="preserve"> </t>
    </r>
  </si>
  <si>
    <t>DE-Ft-05</t>
  </si>
  <si>
    <r>
      <t>Versión:</t>
    </r>
    <r>
      <rPr>
        <sz val="8"/>
        <color rgb="FF000000"/>
        <rFont val="Arial Narrow"/>
        <family val="2"/>
      </rPr>
      <t xml:space="preserve"> </t>
    </r>
  </si>
  <si>
    <r>
      <t>Vigente desde:</t>
    </r>
    <r>
      <rPr>
        <sz val="8"/>
        <color rgb="FF000000"/>
        <rFont val="Arial Narrow"/>
        <family val="2"/>
      </rPr>
      <t xml:space="preserve"> </t>
    </r>
  </si>
  <si>
    <t>19 de Oct de 2021</t>
  </si>
  <si>
    <t>Seguimiento a la Gestión de Riesgos de la Entidad</t>
  </si>
  <si>
    <t>Seguimiento Cualitativo de los Controles Propuestos</t>
  </si>
  <si>
    <t>Evidencias Relacionadas</t>
  </si>
  <si>
    <t>Seguimiento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</si>
</sst>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22"/>
      <name val="Arial Narrow"/>
      <family val="2"/>
    </font>
    <font>
      <sz val="20"/>
      <color theme="1"/>
      <name val="Arial Narrow"/>
      <family val="2"/>
    </font>
    <font>
      <sz val="26"/>
      <color theme="1"/>
      <name val="Arial Narrow"/>
      <family val="2"/>
    </font>
    <font>
      <sz val="20"/>
      <color theme="0"/>
      <name val="Arial Narrow"/>
      <family val="2"/>
    </font>
    <font>
      <sz val="24"/>
      <color theme="0"/>
      <name val="Arial Narrow"/>
      <family val="2"/>
    </font>
    <font>
      <sz val="28"/>
      <color theme="0"/>
      <name val="Arial Narrow"/>
      <family val="2"/>
    </font>
    <font>
      <sz val="28"/>
      <color theme="1"/>
      <name val="Arial Narrow"/>
      <family val="2"/>
    </font>
    <font>
      <sz val="48"/>
      <color theme="1"/>
      <name val="Arial Narrow"/>
      <family val="2"/>
    </font>
    <font>
      <b/>
      <sz val="8"/>
      <color rgb="FF000000"/>
      <name val="Arial Narrow"/>
      <family val="2"/>
    </font>
    <font>
      <sz val="8"/>
      <color rgb="FF000000"/>
      <name val="Arial Narrow"/>
      <family val="2"/>
    </font>
    <font>
      <b/>
      <sz val="8"/>
      <color theme="1"/>
      <name val="Arial Narrow"/>
      <family val="2"/>
    </font>
    <font>
      <sz val="11"/>
      <color rgb="FFFF000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s>
  <borders count="7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dashed">
        <color theme="9" tint="-0.24994659260841701"/>
      </top>
      <bottom/>
      <diagonal/>
    </border>
    <border>
      <left/>
      <right style="medium">
        <color rgb="FF000000"/>
      </right>
      <top/>
      <bottom/>
      <diagonal/>
    </border>
    <border>
      <left style="dashed">
        <color theme="9" tint="-0.24994659260841701"/>
      </left>
      <right/>
      <top style="dashed">
        <color theme="9" tint="-0.24994659260841701"/>
      </top>
      <bottom/>
      <diagonal/>
    </border>
    <border>
      <left style="dashed">
        <color theme="9" tint="-0.24994659260841701"/>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7" xfId="2" applyFont="1" applyFill="1" applyBorder="1"/>
    <xf numFmtId="0" fontId="50" fillId="3" borderId="48" xfId="2" applyFont="1" applyFill="1" applyBorder="1"/>
    <xf numFmtId="0" fontId="50" fillId="3" borderId="49"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9" xfId="0" applyNumberFormat="1"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9" fillId="3" borderId="29" xfId="0" applyFont="1" applyFill="1" applyBorder="1" applyAlignment="1">
      <alignment horizontal="justify" vertical="center" wrapText="1" readingOrder="1"/>
    </xf>
    <xf numFmtId="9" fontId="38" fillId="3" borderId="34" xfId="0" applyNumberFormat="1" applyFont="1" applyFill="1" applyBorder="1" applyAlignment="1">
      <alignment horizontal="center" vertical="center" wrapText="1" readingOrder="1"/>
    </xf>
    <xf numFmtId="0" fontId="39" fillId="3" borderId="34"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9" fillId="3" borderId="36" xfId="0" applyFont="1" applyFill="1" applyBorder="1" applyAlignment="1">
      <alignment horizontal="justify" vertical="center" wrapText="1" readingOrder="1"/>
    </xf>
    <xf numFmtId="0" fontId="39" fillId="3" borderId="37" xfId="0" applyFont="1" applyFill="1" applyBorder="1" applyAlignment="1">
      <alignment horizontal="center" vertical="center" wrapText="1" readingOrder="1"/>
    </xf>
    <xf numFmtId="0" fontId="47" fillId="3" borderId="0" xfId="0" applyFont="1" applyFill="1"/>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8" fillId="0" borderId="2" xfId="0" applyFont="1" applyBorder="1" applyAlignment="1" applyProtection="1">
      <alignment horizontal="justify" vertical="top" wrapText="1"/>
      <protection locked="0"/>
    </xf>
    <xf numFmtId="9" fontId="62" fillId="16" borderId="2" xfId="0" applyNumberFormat="1" applyFont="1" applyFill="1" applyBorder="1" applyAlignment="1" applyProtection="1">
      <alignment horizontal="center" vertical="top"/>
      <protection hidden="1"/>
    </xf>
    <xf numFmtId="9" fontId="63" fillId="16" borderId="4" xfId="0" applyNumberFormat="1" applyFont="1" applyFill="1" applyBorder="1" applyAlignment="1" applyProtection="1">
      <alignment horizontal="center" vertical="top"/>
      <protection hidden="1"/>
    </xf>
    <xf numFmtId="0" fontId="60"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top"/>
      <protection locked="0"/>
    </xf>
    <xf numFmtId="14" fontId="60" fillId="0" borderId="2" xfId="0" applyNumberFormat="1"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wrapText="1"/>
      <protection locked="0"/>
    </xf>
    <xf numFmtId="0" fontId="67" fillId="0" borderId="71" xfId="0" applyFont="1" applyBorder="1" applyAlignment="1">
      <alignment horizontal="right" vertical="center" wrapText="1"/>
    </xf>
    <xf numFmtId="0" fontId="69" fillId="0" borderId="72" xfId="0" applyFont="1" applyBorder="1" applyAlignment="1">
      <alignment vertical="center" wrapText="1"/>
    </xf>
    <xf numFmtId="0" fontId="67" fillId="0" borderId="73" xfId="0" applyFont="1" applyBorder="1" applyAlignment="1">
      <alignment horizontal="right" vertical="center" wrapText="1"/>
    </xf>
    <xf numFmtId="0" fontId="69" fillId="0" borderId="74" xfId="0" applyFont="1" applyBorder="1" applyAlignment="1">
      <alignment horizontal="left" vertical="center" wrapText="1"/>
    </xf>
    <xf numFmtId="0" fontId="69" fillId="0" borderId="74" xfId="0" applyFont="1" applyBorder="1" applyAlignment="1">
      <alignment vertical="center" wrapText="1"/>
    </xf>
    <xf numFmtId="0" fontId="1" fillId="0" borderId="2" xfId="0" applyFont="1" applyBorder="1" applyAlignment="1" applyProtection="1">
      <alignment horizontal="justify" vertical="top" wrapText="1"/>
      <protection locked="0"/>
    </xf>
    <xf numFmtId="0" fontId="51" fillId="14" borderId="44" xfId="2" applyFont="1" applyFill="1" applyBorder="1" applyAlignment="1">
      <alignment horizontal="center" vertical="center" wrapText="1"/>
    </xf>
    <xf numFmtId="0" fontId="51" fillId="14" borderId="45" xfId="2" applyFont="1" applyFill="1" applyBorder="1" applyAlignment="1">
      <alignment horizontal="center" vertical="center" wrapText="1"/>
    </xf>
    <xf numFmtId="0" fontId="51" fillId="14" borderId="46"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47" xfId="2" quotePrefix="1" applyFont="1" applyFill="1" applyBorder="1" applyAlignment="1">
      <alignment horizontal="left" vertical="top" wrapText="1"/>
    </xf>
    <xf numFmtId="0" fontId="53" fillId="3" borderId="48" xfId="2" quotePrefix="1" applyFont="1" applyFill="1" applyBorder="1" applyAlignment="1">
      <alignment horizontal="left" vertical="top" wrapText="1"/>
    </xf>
    <xf numFmtId="0" fontId="53" fillId="3" borderId="49"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0" xfId="3" applyFont="1" applyFill="1" applyBorder="1" applyAlignment="1">
      <alignment horizontal="center" vertical="center" wrapText="1"/>
    </xf>
    <xf numFmtId="0" fontId="55" fillId="14" borderId="51" xfId="3" applyFont="1" applyFill="1" applyBorder="1" applyAlignment="1">
      <alignment horizontal="center" vertical="center" wrapText="1"/>
    </xf>
    <xf numFmtId="0" fontId="55" fillId="14" borderId="52" xfId="2" applyFont="1" applyFill="1" applyBorder="1" applyAlignment="1">
      <alignment horizontal="center" vertical="center"/>
    </xf>
    <xf numFmtId="0" fontId="55" fillId="14" borderId="53" xfId="2" applyFont="1" applyFill="1" applyBorder="1" applyAlignment="1">
      <alignment horizontal="center" vertical="center"/>
    </xf>
    <xf numFmtId="0" fontId="2" fillId="3" borderId="64" xfId="2" quotePrefix="1" applyFont="1" applyFill="1" applyBorder="1" applyAlignment="1">
      <alignment horizontal="justify" vertical="center" wrapText="1"/>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55" fillId="3" borderId="54"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60" fillId="0" borderId="4" xfId="0" applyNumberFormat="1" applyFont="1" applyBorder="1" applyAlignment="1" applyProtection="1">
      <alignment horizontal="center" vertical="top" wrapText="1"/>
      <protection hidden="1"/>
    </xf>
    <xf numFmtId="9" fontId="60" fillId="0" borderId="8" xfId="0" applyNumberFormat="1" applyFont="1" applyBorder="1" applyAlignment="1" applyProtection="1">
      <alignment horizontal="center" vertical="top" wrapText="1"/>
      <protection hidden="1"/>
    </xf>
    <xf numFmtId="9" fontId="60"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61" fillId="0" borderId="4" xfId="0" applyFont="1" applyBorder="1" applyAlignment="1" applyProtection="1">
      <alignment horizontal="center" vertical="top" wrapText="1"/>
      <protection locked="0"/>
    </xf>
    <xf numFmtId="0" fontId="61" fillId="0" borderId="8" xfId="0" applyFont="1" applyBorder="1" applyAlignment="1" applyProtection="1">
      <alignment horizontal="center" vertical="top" wrapText="1"/>
      <protection locked="0"/>
    </xf>
    <xf numFmtId="0" fontId="61" fillId="0" borderId="5" xfId="0" applyFont="1" applyBorder="1" applyAlignment="1" applyProtection="1">
      <alignment horizontal="center" vertical="top" wrapText="1"/>
      <protection locked="0"/>
    </xf>
    <xf numFmtId="0" fontId="59" fillId="0" borderId="4" xfId="0" applyFont="1" applyBorder="1" applyAlignment="1" applyProtection="1">
      <alignment horizontal="center" vertical="top" wrapText="1"/>
      <protection locked="0"/>
    </xf>
    <xf numFmtId="0" fontId="59" fillId="0" borderId="8" xfId="0" applyFont="1" applyBorder="1" applyAlignment="1" applyProtection="1">
      <alignment horizontal="center" vertical="top" wrapText="1"/>
      <protection locked="0"/>
    </xf>
    <xf numFmtId="0" fontId="59" fillId="0" borderId="5" xfId="0" applyFont="1" applyBorder="1" applyAlignment="1" applyProtection="1">
      <alignment horizontal="center" vertical="top" wrapText="1"/>
      <protection locked="0"/>
    </xf>
    <xf numFmtId="0" fontId="1" fillId="3" borderId="0" xfId="0" applyFont="1" applyFill="1" applyAlignment="1">
      <alignment horizontal="left" vertical="center"/>
    </xf>
    <xf numFmtId="9" fontId="64" fillId="16" borderId="4" xfId="0" applyNumberFormat="1" applyFont="1" applyFill="1" applyBorder="1" applyAlignment="1" applyProtection="1">
      <alignment horizontal="center" vertical="top" wrapText="1"/>
      <protection hidden="1"/>
    </xf>
    <xf numFmtId="9" fontId="64" fillId="16" borderId="8" xfId="0" applyNumberFormat="1" applyFont="1" applyFill="1" applyBorder="1" applyAlignment="1" applyProtection="1">
      <alignment horizontal="center" vertical="top" wrapText="1"/>
      <protection hidden="1"/>
    </xf>
    <xf numFmtId="9" fontId="64" fillId="16" borderId="5" xfId="0" applyNumberFormat="1" applyFont="1" applyFill="1" applyBorder="1" applyAlignment="1" applyProtection="1">
      <alignment horizontal="center" vertical="top" wrapText="1"/>
      <protection hidden="1"/>
    </xf>
    <xf numFmtId="9" fontId="65" fillId="0" borderId="4" xfId="0" applyNumberFormat="1" applyFont="1" applyBorder="1" applyAlignment="1" applyProtection="1">
      <alignment horizontal="center" vertical="top" wrapText="1"/>
      <protection locked="0"/>
    </xf>
    <xf numFmtId="9" fontId="65" fillId="0" borderId="8" xfId="0" applyNumberFormat="1" applyFont="1" applyBorder="1" applyAlignment="1" applyProtection="1">
      <alignment horizontal="center" vertical="top" wrapText="1"/>
      <protection locked="0"/>
    </xf>
    <xf numFmtId="9" fontId="65" fillId="0" borderId="5" xfId="0" applyNumberFormat="1" applyFont="1" applyBorder="1" applyAlignment="1" applyProtection="1">
      <alignment horizontal="center" vertical="top" wrapText="1"/>
      <protection locked="0"/>
    </xf>
    <xf numFmtId="0" fontId="66" fillId="0" borderId="4" xfId="0" applyFont="1" applyBorder="1" applyAlignment="1" applyProtection="1">
      <alignment horizontal="center" vertical="top"/>
      <protection locked="0"/>
    </xf>
    <xf numFmtId="0" fontId="66" fillId="0" borderId="8" xfId="0" applyFont="1" applyBorder="1" applyAlignment="1" applyProtection="1">
      <alignment horizontal="center" vertical="top"/>
      <protection locked="0"/>
    </xf>
    <xf numFmtId="0" fontId="66" fillId="0" borderId="5" xfId="0" applyFont="1" applyBorder="1" applyAlignment="1" applyProtection="1">
      <alignment horizontal="center" vertical="top"/>
      <protection locked="0"/>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6" fillId="2" borderId="28" xfId="0" applyFont="1" applyFill="1" applyBorder="1" applyAlignment="1">
      <alignment horizontal="center" vertical="center"/>
    </xf>
    <xf numFmtId="0" fontId="26" fillId="2" borderId="75" xfId="0" applyFont="1" applyFill="1" applyBorder="1" applyAlignment="1">
      <alignment horizontal="center" vertical="center"/>
    </xf>
    <xf numFmtId="0" fontId="26" fillId="2" borderId="0" xfId="0" applyFont="1" applyFill="1" applyAlignment="1">
      <alignment horizontal="center" vertical="center"/>
    </xf>
    <xf numFmtId="0" fontId="26" fillId="2" borderId="7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1" xfId="0" applyFont="1" applyFill="1" applyBorder="1" applyAlignment="1">
      <alignment horizontal="center" vertical="center" wrapText="1" readingOrder="1"/>
    </xf>
    <xf numFmtId="0" fontId="41" fillId="15" borderId="32" xfId="0" applyFont="1" applyFill="1" applyBorder="1" applyAlignment="1">
      <alignment horizontal="center" vertical="center" wrapText="1" readingOrder="1"/>
    </xf>
    <xf numFmtId="0" fontId="41" fillId="15" borderId="43"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0" xfId="0" applyFont="1" applyFill="1" applyBorder="1" applyAlignment="1">
      <alignment horizontal="center" vertical="center" wrapText="1" readingOrder="1"/>
    </xf>
    <xf numFmtId="0" fontId="38" fillId="15" borderId="41"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29" fillId="0" borderId="2" xfId="0" applyFont="1" applyBorder="1" applyAlignment="1" applyProtection="1">
      <alignment horizontal="justify" vertical="top" wrapText="1"/>
      <protection locked="0"/>
    </xf>
    <xf numFmtId="0" fontId="70" fillId="0" borderId="0" xfId="0" applyFont="1"/>
    <xf numFmtId="0" fontId="50" fillId="0" borderId="4" xfId="0" applyFont="1" applyBorder="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4" fillId="2" borderId="7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65"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9">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8" dataDxfId="117">
  <autoFilter ref="B209:C219" xr:uid="{00000000-0009-0000-0100-000001000000}"/>
  <tableColumns count="2">
    <tableColumn id="1" xr3:uid="{00000000-0010-0000-0000-000001000000}" name="Criterios" dataDxfId="116"/>
    <tableColumn id="2" xr3:uid="{00000000-0010-0000-0000-000002000000}" name="Subcriterios" dataDxfId="11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45"/>
  <sheetViews>
    <sheetView zoomScale="110" zoomScaleNormal="110" workbookViewId="0">
      <selection activeCell="B4" sqref="B4:H5"/>
    </sheetView>
  </sheetViews>
  <sheetFormatPr baseColWidth="10"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75" thickBot="1" x14ac:dyDescent="0.3"/>
    <row r="2" spans="2:8" ht="18" x14ac:dyDescent="0.25">
      <c r="B2" s="148" t="s">
        <v>166</v>
      </c>
      <c r="C2" s="149"/>
      <c r="D2" s="149"/>
      <c r="E2" s="149"/>
      <c r="F2" s="149"/>
      <c r="G2" s="149"/>
      <c r="H2" s="150"/>
    </row>
    <row r="3" spans="2:8" x14ac:dyDescent="0.25">
      <c r="B3" s="81"/>
      <c r="C3" s="82"/>
      <c r="D3" s="82"/>
      <c r="E3" s="82"/>
      <c r="F3" s="82"/>
      <c r="G3" s="82"/>
      <c r="H3" s="83"/>
    </row>
    <row r="4" spans="2:8" ht="63" customHeight="1" x14ac:dyDescent="0.25">
      <c r="B4" s="151" t="s">
        <v>209</v>
      </c>
      <c r="C4" s="152"/>
      <c r="D4" s="152"/>
      <c r="E4" s="152"/>
      <c r="F4" s="152"/>
      <c r="G4" s="152"/>
      <c r="H4" s="153"/>
    </row>
    <row r="5" spans="2:8" ht="63" customHeight="1" x14ac:dyDescent="0.25">
      <c r="B5" s="154"/>
      <c r="C5" s="155"/>
      <c r="D5" s="155"/>
      <c r="E5" s="155"/>
      <c r="F5" s="155"/>
      <c r="G5" s="155"/>
      <c r="H5" s="156"/>
    </row>
    <row r="6" spans="2:8" ht="16.5" x14ac:dyDescent="0.25">
      <c r="B6" s="157" t="s">
        <v>164</v>
      </c>
      <c r="C6" s="158"/>
      <c r="D6" s="158"/>
      <c r="E6" s="158"/>
      <c r="F6" s="158"/>
      <c r="G6" s="158"/>
      <c r="H6" s="159"/>
    </row>
    <row r="7" spans="2:8" ht="95.25" customHeight="1" x14ac:dyDescent="0.25">
      <c r="B7" s="167" t="s">
        <v>169</v>
      </c>
      <c r="C7" s="168"/>
      <c r="D7" s="168"/>
      <c r="E7" s="168"/>
      <c r="F7" s="168"/>
      <c r="G7" s="168"/>
      <c r="H7" s="169"/>
    </row>
    <row r="8" spans="2:8" ht="16.5" x14ac:dyDescent="0.25">
      <c r="B8" s="117"/>
      <c r="C8" s="118"/>
      <c r="D8" s="118"/>
      <c r="E8" s="118"/>
      <c r="F8" s="118"/>
      <c r="G8" s="118"/>
      <c r="H8" s="119"/>
    </row>
    <row r="9" spans="2:8" ht="16.5" customHeight="1" x14ac:dyDescent="0.25">
      <c r="B9" s="160" t="s">
        <v>202</v>
      </c>
      <c r="C9" s="161"/>
      <c r="D9" s="161"/>
      <c r="E9" s="161"/>
      <c r="F9" s="161"/>
      <c r="G9" s="161"/>
      <c r="H9" s="162"/>
    </row>
    <row r="10" spans="2:8" ht="44.25" customHeight="1" x14ac:dyDescent="0.25">
      <c r="B10" s="160"/>
      <c r="C10" s="161"/>
      <c r="D10" s="161"/>
      <c r="E10" s="161"/>
      <c r="F10" s="161"/>
      <c r="G10" s="161"/>
      <c r="H10" s="162"/>
    </row>
    <row r="11" spans="2:8" ht="15.75" thickBot="1" x14ac:dyDescent="0.3">
      <c r="B11" s="106"/>
      <c r="C11" s="109"/>
      <c r="D11" s="114"/>
      <c r="E11" s="115"/>
      <c r="F11" s="115"/>
      <c r="G11" s="116"/>
      <c r="H11" s="110"/>
    </row>
    <row r="12" spans="2:8" ht="15.75" thickTop="1" x14ac:dyDescent="0.25">
      <c r="B12" s="106"/>
      <c r="C12" s="163" t="s">
        <v>165</v>
      </c>
      <c r="D12" s="164"/>
      <c r="E12" s="165" t="s">
        <v>203</v>
      </c>
      <c r="F12" s="166"/>
      <c r="G12" s="109"/>
      <c r="H12" s="110"/>
    </row>
    <row r="13" spans="2:8" ht="35.25" customHeight="1" x14ac:dyDescent="0.25">
      <c r="B13" s="106"/>
      <c r="C13" s="170" t="s">
        <v>196</v>
      </c>
      <c r="D13" s="171"/>
      <c r="E13" s="172" t="s">
        <v>201</v>
      </c>
      <c r="F13" s="173"/>
      <c r="G13" s="109"/>
      <c r="H13" s="110"/>
    </row>
    <row r="14" spans="2:8" ht="17.25" customHeight="1" x14ac:dyDescent="0.25">
      <c r="B14" s="106"/>
      <c r="C14" s="170" t="s">
        <v>197</v>
      </c>
      <c r="D14" s="171"/>
      <c r="E14" s="172" t="s">
        <v>199</v>
      </c>
      <c r="F14" s="173"/>
      <c r="G14" s="109"/>
      <c r="H14" s="110"/>
    </row>
    <row r="15" spans="2:8" ht="19.5" customHeight="1" x14ac:dyDescent="0.25">
      <c r="B15" s="106"/>
      <c r="C15" s="170" t="s">
        <v>198</v>
      </c>
      <c r="D15" s="171"/>
      <c r="E15" s="172" t="s">
        <v>200</v>
      </c>
      <c r="F15" s="173"/>
      <c r="G15" s="109"/>
      <c r="H15" s="110"/>
    </row>
    <row r="16" spans="2:8" ht="69.75" customHeight="1" x14ac:dyDescent="0.25">
      <c r="B16" s="106"/>
      <c r="C16" s="170" t="s">
        <v>167</v>
      </c>
      <c r="D16" s="171"/>
      <c r="E16" s="172" t="s">
        <v>168</v>
      </c>
      <c r="F16" s="173"/>
      <c r="G16" s="109"/>
      <c r="H16" s="110"/>
    </row>
    <row r="17" spans="2:8" ht="34.5" customHeight="1" x14ac:dyDescent="0.25">
      <c r="B17" s="106"/>
      <c r="C17" s="174" t="s">
        <v>2</v>
      </c>
      <c r="D17" s="175"/>
      <c r="E17" s="176" t="s">
        <v>210</v>
      </c>
      <c r="F17" s="177"/>
      <c r="G17" s="109"/>
      <c r="H17" s="110"/>
    </row>
    <row r="18" spans="2:8" ht="27.75" customHeight="1" x14ac:dyDescent="0.25">
      <c r="B18" s="106"/>
      <c r="C18" s="174" t="s">
        <v>3</v>
      </c>
      <c r="D18" s="175"/>
      <c r="E18" s="176" t="s">
        <v>211</v>
      </c>
      <c r="F18" s="177"/>
      <c r="G18" s="109"/>
      <c r="H18" s="110"/>
    </row>
    <row r="19" spans="2:8" ht="28.5" customHeight="1" x14ac:dyDescent="0.25">
      <c r="B19" s="106"/>
      <c r="C19" s="174" t="s">
        <v>42</v>
      </c>
      <c r="D19" s="175"/>
      <c r="E19" s="176" t="s">
        <v>212</v>
      </c>
      <c r="F19" s="177"/>
      <c r="G19" s="109"/>
      <c r="H19" s="110"/>
    </row>
    <row r="20" spans="2:8" ht="72.75" customHeight="1" x14ac:dyDescent="0.25">
      <c r="B20" s="106"/>
      <c r="C20" s="174" t="s">
        <v>1</v>
      </c>
      <c r="D20" s="175"/>
      <c r="E20" s="176" t="s">
        <v>213</v>
      </c>
      <c r="F20" s="177"/>
      <c r="G20" s="109"/>
      <c r="H20" s="110"/>
    </row>
    <row r="21" spans="2:8" ht="64.5" customHeight="1" x14ac:dyDescent="0.25">
      <c r="B21" s="106"/>
      <c r="C21" s="174" t="s">
        <v>50</v>
      </c>
      <c r="D21" s="175"/>
      <c r="E21" s="176" t="s">
        <v>171</v>
      </c>
      <c r="F21" s="177"/>
      <c r="G21" s="109"/>
      <c r="H21" s="110"/>
    </row>
    <row r="22" spans="2:8" ht="71.25" customHeight="1" x14ac:dyDescent="0.25">
      <c r="B22" s="106"/>
      <c r="C22" s="174" t="s">
        <v>170</v>
      </c>
      <c r="D22" s="175"/>
      <c r="E22" s="176" t="s">
        <v>172</v>
      </c>
      <c r="F22" s="177"/>
      <c r="G22" s="109"/>
      <c r="H22" s="110"/>
    </row>
    <row r="23" spans="2:8" ht="55.5" customHeight="1" x14ac:dyDescent="0.25">
      <c r="B23" s="106"/>
      <c r="C23" s="181" t="s">
        <v>173</v>
      </c>
      <c r="D23" s="182"/>
      <c r="E23" s="176" t="s">
        <v>174</v>
      </c>
      <c r="F23" s="177"/>
      <c r="G23" s="109"/>
      <c r="H23" s="110"/>
    </row>
    <row r="24" spans="2:8" ht="42" customHeight="1" x14ac:dyDescent="0.25">
      <c r="B24" s="106"/>
      <c r="C24" s="181" t="s">
        <v>48</v>
      </c>
      <c r="D24" s="182"/>
      <c r="E24" s="176" t="s">
        <v>175</v>
      </c>
      <c r="F24" s="177"/>
      <c r="G24" s="109"/>
      <c r="H24" s="110"/>
    </row>
    <row r="25" spans="2:8" ht="59.25" customHeight="1" x14ac:dyDescent="0.25">
      <c r="B25" s="106"/>
      <c r="C25" s="181" t="s">
        <v>163</v>
      </c>
      <c r="D25" s="182"/>
      <c r="E25" s="176" t="s">
        <v>176</v>
      </c>
      <c r="F25" s="177"/>
      <c r="G25" s="109"/>
      <c r="H25" s="110"/>
    </row>
    <row r="26" spans="2:8" ht="23.25" customHeight="1" x14ac:dyDescent="0.25">
      <c r="B26" s="106"/>
      <c r="C26" s="181" t="s">
        <v>12</v>
      </c>
      <c r="D26" s="182"/>
      <c r="E26" s="176" t="s">
        <v>177</v>
      </c>
      <c r="F26" s="177"/>
      <c r="G26" s="109"/>
      <c r="H26" s="110"/>
    </row>
    <row r="27" spans="2:8" ht="30.75" customHeight="1" x14ac:dyDescent="0.25">
      <c r="B27" s="106"/>
      <c r="C27" s="181" t="s">
        <v>181</v>
      </c>
      <c r="D27" s="182"/>
      <c r="E27" s="176" t="s">
        <v>178</v>
      </c>
      <c r="F27" s="177"/>
      <c r="G27" s="109"/>
      <c r="H27" s="110"/>
    </row>
    <row r="28" spans="2:8" ht="35.25" customHeight="1" x14ac:dyDescent="0.25">
      <c r="B28" s="106"/>
      <c r="C28" s="181" t="s">
        <v>182</v>
      </c>
      <c r="D28" s="182"/>
      <c r="E28" s="176" t="s">
        <v>179</v>
      </c>
      <c r="F28" s="177"/>
      <c r="G28" s="109"/>
      <c r="H28" s="110"/>
    </row>
    <row r="29" spans="2:8" ht="33" customHeight="1" x14ac:dyDescent="0.25">
      <c r="B29" s="106"/>
      <c r="C29" s="181" t="s">
        <v>182</v>
      </c>
      <c r="D29" s="182"/>
      <c r="E29" s="176" t="s">
        <v>179</v>
      </c>
      <c r="F29" s="177"/>
      <c r="G29" s="109"/>
      <c r="H29" s="110"/>
    </row>
    <row r="30" spans="2:8" ht="30" customHeight="1" x14ac:dyDescent="0.25">
      <c r="B30" s="106"/>
      <c r="C30" s="181" t="s">
        <v>183</v>
      </c>
      <c r="D30" s="182"/>
      <c r="E30" s="176" t="s">
        <v>180</v>
      </c>
      <c r="F30" s="177"/>
      <c r="G30" s="109"/>
      <c r="H30" s="110"/>
    </row>
    <row r="31" spans="2:8" ht="35.25" customHeight="1" x14ac:dyDescent="0.25">
      <c r="B31" s="106"/>
      <c r="C31" s="181" t="s">
        <v>184</v>
      </c>
      <c r="D31" s="182"/>
      <c r="E31" s="176" t="s">
        <v>185</v>
      </c>
      <c r="F31" s="177"/>
      <c r="G31" s="109"/>
      <c r="H31" s="110"/>
    </row>
    <row r="32" spans="2:8" ht="31.5" customHeight="1" x14ac:dyDescent="0.25">
      <c r="B32" s="106"/>
      <c r="C32" s="181" t="s">
        <v>186</v>
      </c>
      <c r="D32" s="182"/>
      <c r="E32" s="176" t="s">
        <v>187</v>
      </c>
      <c r="F32" s="177"/>
      <c r="G32" s="109"/>
      <c r="H32" s="110"/>
    </row>
    <row r="33" spans="2:8" ht="35.25" customHeight="1" x14ac:dyDescent="0.25">
      <c r="B33" s="106"/>
      <c r="C33" s="181" t="s">
        <v>188</v>
      </c>
      <c r="D33" s="182"/>
      <c r="E33" s="176" t="s">
        <v>189</v>
      </c>
      <c r="F33" s="177"/>
      <c r="G33" s="109"/>
      <c r="H33" s="110"/>
    </row>
    <row r="34" spans="2:8" ht="59.25" customHeight="1" x14ac:dyDescent="0.25">
      <c r="B34" s="106"/>
      <c r="C34" s="181" t="s">
        <v>190</v>
      </c>
      <c r="D34" s="182"/>
      <c r="E34" s="176" t="s">
        <v>191</v>
      </c>
      <c r="F34" s="177"/>
      <c r="G34" s="109"/>
      <c r="H34" s="110"/>
    </row>
    <row r="35" spans="2:8" ht="29.25" customHeight="1" x14ac:dyDescent="0.25">
      <c r="B35" s="106"/>
      <c r="C35" s="181" t="s">
        <v>29</v>
      </c>
      <c r="D35" s="182"/>
      <c r="E35" s="176" t="s">
        <v>192</v>
      </c>
      <c r="F35" s="177"/>
      <c r="G35" s="109"/>
      <c r="H35" s="110"/>
    </row>
    <row r="36" spans="2:8" ht="82.5" customHeight="1" x14ac:dyDescent="0.25">
      <c r="B36" s="106"/>
      <c r="C36" s="181" t="s">
        <v>194</v>
      </c>
      <c r="D36" s="182"/>
      <c r="E36" s="176" t="s">
        <v>193</v>
      </c>
      <c r="F36" s="177"/>
      <c r="G36" s="109"/>
      <c r="H36" s="110"/>
    </row>
    <row r="37" spans="2:8" ht="46.5" customHeight="1" x14ac:dyDescent="0.25">
      <c r="B37" s="106"/>
      <c r="C37" s="181" t="s">
        <v>39</v>
      </c>
      <c r="D37" s="182"/>
      <c r="E37" s="176" t="s">
        <v>195</v>
      </c>
      <c r="F37" s="177"/>
      <c r="G37" s="109"/>
      <c r="H37" s="110"/>
    </row>
    <row r="38" spans="2:8" ht="6.75" customHeight="1" thickBot="1" x14ac:dyDescent="0.3">
      <c r="B38" s="106"/>
      <c r="C38" s="183"/>
      <c r="D38" s="184"/>
      <c r="E38" s="185"/>
      <c r="F38" s="186"/>
      <c r="G38" s="109"/>
      <c r="H38" s="110"/>
    </row>
    <row r="39" spans="2:8" ht="15.75" thickTop="1" x14ac:dyDescent="0.25">
      <c r="B39" s="106"/>
      <c r="C39" s="107"/>
      <c r="D39" s="107"/>
      <c r="E39" s="108"/>
      <c r="F39" s="108"/>
      <c r="G39" s="109"/>
      <c r="H39" s="110"/>
    </row>
    <row r="40" spans="2:8" ht="21" customHeight="1" x14ac:dyDescent="0.25">
      <c r="B40" s="178" t="s">
        <v>204</v>
      </c>
      <c r="C40" s="179"/>
      <c r="D40" s="179"/>
      <c r="E40" s="179"/>
      <c r="F40" s="179"/>
      <c r="G40" s="179"/>
      <c r="H40" s="180"/>
    </row>
    <row r="41" spans="2:8" ht="20.25" customHeight="1" x14ac:dyDescent="0.25">
      <c r="B41" s="178" t="s">
        <v>205</v>
      </c>
      <c r="C41" s="179"/>
      <c r="D41" s="179"/>
      <c r="E41" s="179"/>
      <c r="F41" s="179"/>
      <c r="G41" s="179"/>
      <c r="H41" s="180"/>
    </row>
    <row r="42" spans="2:8" ht="20.25" customHeight="1" x14ac:dyDescent="0.25">
      <c r="B42" s="178" t="s">
        <v>206</v>
      </c>
      <c r="C42" s="179"/>
      <c r="D42" s="179"/>
      <c r="E42" s="179"/>
      <c r="F42" s="179"/>
      <c r="G42" s="179"/>
      <c r="H42" s="180"/>
    </row>
    <row r="43" spans="2:8" ht="20.25" customHeight="1" x14ac:dyDescent="0.25">
      <c r="B43" s="178" t="s">
        <v>207</v>
      </c>
      <c r="C43" s="179"/>
      <c r="D43" s="179"/>
      <c r="E43" s="179"/>
      <c r="F43" s="179"/>
      <c r="G43" s="179"/>
      <c r="H43" s="180"/>
    </row>
    <row r="44" spans="2:8" x14ac:dyDescent="0.25">
      <c r="B44" s="178" t="s">
        <v>208</v>
      </c>
      <c r="C44" s="179"/>
      <c r="D44" s="179"/>
      <c r="E44" s="179"/>
      <c r="F44" s="179"/>
      <c r="G44" s="179"/>
      <c r="H44" s="180"/>
    </row>
    <row r="45" spans="2:8" ht="15.75" thickBot="1" x14ac:dyDescent="0.3">
      <c r="B45" s="111"/>
      <c r="C45" s="112"/>
      <c r="D45" s="112"/>
      <c r="E45" s="112"/>
      <c r="F45" s="112"/>
      <c r="G45" s="112"/>
      <c r="H45" s="11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BP65"/>
  <sheetViews>
    <sheetView tabSelected="1" topLeftCell="AG1" zoomScale="85" zoomScaleNormal="85" workbookViewId="0">
      <selection activeCell="AK7" sqref="AK7:AL10"/>
    </sheetView>
  </sheetViews>
  <sheetFormatPr baseColWidth="10" defaultRowHeight="16.5" x14ac:dyDescent="0.3"/>
  <cols>
    <col min="1" max="1" width="4" style="2" bestFit="1" customWidth="1"/>
    <col min="2" max="2" width="24.7109375" style="2" customWidth="1"/>
    <col min="3" max="3" width="24" style="2" customWidth="1"/>
    <col min="4" max="4" width="30.28515625" style="2" customWidth="1"/>
    <col min="5" max="5" width="32.42578125" style="1" customWidth="1"/>
    <col min="6" max="6" width="27.85546875" style="5" customWidth="1"/>
    <col min="7" max="7" width="17.85546875" style="1" customWidth="1"/>
    <col min="8" max="8" width="16.5703125" style="1" customWidth="1"/>
    <col min="9" max="9" width="11" style="1" bestFit="1" customWidth="1"/>
    <col min="10" max="10" width="27.28515625" style="1" bestFit="1" customWidth="1"/>
    <col min="11" max="11" width="30.5703125" style="1" hidden="1" customWidth="1"/>
    <col min="12" max="12" width="17.5703125" style="1" customWidth="1"/>
    <col min="13" max="13" width="18.28515625" style="1" bestFit="1" customWidth="1"/>
    <col min="14" max="14" width="16" style="1" customWidth="1"/>
    <col min="15" max="15" width="5.85546875" style="1" customWidth="1"/>
    <col min="16" max="16" width="51.42578125" style="1" customWidth="1"/>
    <col min="17" max="17" width="15.140625" style="1" bestFit="1" customWidth="1"/>
    <col min="18" max="18" width="6.85546875" style="1" customWidth="1"/>
    <col min="19" max="19" width="5" style="1" customWidth="1"/>
    <col min="20" max="20" width="10.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8.42578125" style="1" customWidth="1"/>
    <col min="32" max="32" width="18.85546875" style="1" customWidth="1"/>
    <col min="33" max="33" width="49.140625" style="1" customWidth="1"/>
    <col min="34" max="34" width="14.85546875" style="1" customWidth="1"/>
    <col min="35" max="35" width="18.5703125" style="1" customWidth="1"/>
    <col min="36" max="36" width="21" style="1" customWidth="1"/>
    <col min="37" max="37" width="24.7109375" style="1" customWidth="1"/>
    <col min="38" max="38" width="24.85546875" style="1" customWidth="1"/>
    <col min="39" max="16384" width="11.42578125" style="1"/>
  </cols>
  <sheetData>
    <row r="1" spans="1:68" ht="16.5" customHeight="1" thickBot="1" x14ac:dyDescent="0.35">
      <c r="A1" s="252" t="s">
        <v>144</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3"/>
      <c r="AI1" s="142" t="s">
        <v>262</v>
      </c>
      <c r="AJ1" s="143" t="s">
        <v>263</v>
      </c>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thickBot="1" x14ac:dyDescent="0.35">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5"/>
      <c r="AI2" s="144" t="s">
        <v>264</v>
      </c>
      <c r="AJ2" s="145">
        <v>3</v>
      </c>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7.25" thickBot="1" x14ac:dyDescent="0.35">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5"/>
      <c r="AI3" s="144" t="s">
        <v>265</v>
      </c>
      <c r="AJ3" s="146" t="s">
        <v>266</v>
      </c>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6" t="s">
        <v>43</v>
      </c>
      <c r="B4" s="217"/>
      <c r="C4" s="226" t="s">
        <v>226</v>
      </c>
      <c r="D4" s="227"/>
      <c r="E4" s="227"/>
      <c r="F4" s="227"/>
      <c r="G4" s="227"/>
      <c r="H4" s="227"/>
      <c r="I4" s="227"/>
      <c r="J4" s="227"/>
      <c r="K4" s="227"/>
      <c r="L4" s="227"/>
      <c r="M4" s="227"/>
      <c r="N4" s="228"/>
      <c r="O4" s="238"/>
      <c r="P4" s="238"/>
      <c r="Q4" s="23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54.75" customHeight="1" x14ac:dyDescent="0.3">
      <c r="A5" s="216" t="s">
        <v>130</v>
      </c>
      <c r="B5" s="217"/>
      <c r="C5" s="223" t="s">
        <v>221</v>
      </c>
      <c r="D5" s="224"/>
      <c r="E5" s="224"/>
      <c r="F5" s="224"/>
      <c r="G5" s="224"/>
      <c r="H5" s="224"/>
      <c r="I5" s="224"/>
      <c r="J5" s="224"/>
      <c r="K5" s="224"/>
      <c r="L5" s="224"/>
      <c r="M5" s="224"/>
      <c r="N5" s="225"/>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6" t="s">
        <v>44</v>
      </c>
      <c r="B6" s="217"/>
      <c r="C6" s="223" t="s">
        <v>222</v>
      </c>
      <c r="D6" s="224"/>
      <c r="E6" s="224"/>
      <c r="F6" s="224"/>
      <c r="G6" s="224"/>
      <c r="H6" s="224"/>
      <c r="I6" s="224"/>
      <c r="J6" s="224"/>
      <c r="K6" s="224"/>
      <c r="L6" s="224"/>
      <c r="M6" s="224"/>
      <c r="N6" s="225"/>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56" t="s">
        <v>139</v>
      </c>
      <c r="B7" s="257"/>
      <c r="C7" s="257"/>
      <c r="D7" s="257"/>
      <c r="E7" s="257"/>
      <c r="F7" s="257"/>
      <c r="G7" s="258"/>
      <c r="H7" s="256" t="s">
        <v>140</v>
      </c>
      <c r="I7" s="257"/>
      <c r="J7" s="257"/>
      <c r="K7" s="257"/>
      <c r="L7" s="257"/>
      <c r="M7" s="257"/>
      <c r="N7" s="258"/>
      <c r="O7" s="256" t="s">
        <v>141</v>
      </c>
      <c r="P7" s="257"/>
      <c r="Q7" s="257"/>
      <c r="R7" s="257"/>
      <c r="S7" s="257"/>
      <c r="T7" s="257"/>
      <c r="U7" s="257"/>
      <c r="V7" s="257"/>
      <c r="W7" s="258"/>
      <c r="X7" s="256" t="s">
        <v>142</v>
      </c>
      <c r="Y7" s="257"/>
      <c r="Z7" s="257"/>
      <c r="AA7" s="257"/>
      <c r="AB7" s="257"/>
      <c r="AC7" s="257"/>
      <c r="AD7" s="258"/>
      <c r="AE7" s="256" t="s">
        <v>34</v>
      </c>
      <c r="AF7" s="257"/>
      <c r="AG7" s="257"/>
      <c r="AH7" s="257"/>
      <c r="AI7" s="257"/>
      <c r="AJ7" s="258"/>
      <c r="AK7" s="415" t="s">
        <v>270</v>
      </c>
      <c r="AL7" s="416"/>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8" t="s">
        <v>0</v>
      </c>
      <c r="B8" s="222" t="s">
        <v>2</v>
      </c>
      <c r="C8" s="214" t="s">
        <v>3</v>
      </c>
      <c r="D8" s="214" t="s">
        <v>42</v>
      </c>
      <c r="E8" s="221" t="s">
        <v>1</v>
      </c>
      <c r="F8" s="220" t="s">
        <v>50</v>
      </c>
      <c r="G8" s="214" t="s">
        <v>135</v>
      </c>
      <c r="H8" s="215" t="s">
        <v>33</v>
      </c>
      <c r="I8" s="187" t="s">
        <v>5</v>
      </c>
      <c r="J8" s="220" t="s">
        <v>87</v>
      </c>
      <c r="K8" s="220" t="s">
        <v>92</v>
      </c>
      <c r="L8" s="248" t="s">
        <v>45</v>
      </c>
      <c r="M8" s="187" t="s">
        <v>5</v>
      </c>
      <c r="N8" s="214" t="s">
        <v>48</v>
      </c>
      <c r="O8" s="206" t="s">
        <v>11</v>
      </c>
      <c r="P8" s="189" t="s">
        <v>163</v>
      </c>
      <c r="Q8" s="220" t="s">
        <v>12</v>
      </c>
      <c r="R8" s="189" t="s">
        <v>8</v>
      </c>
      <c r="S8" s="189"/>
      <c r="T8" s="189"/>
      <c r="U8" s="189"/>
      <c r="V8" s="189"/>
      <c r="W8" s="189"/>
      <c r="X8" s="205" t="s">
        <v>138</v>
      </c>
      <c r="Y8" s="205" t="s">
        <v>46</v>
      </c>
      <c r="Z8" s="205" t="s">
        <v>5</v>
      </c>
      <c r="AA8" s="205" t="s">
        <v>47</v>
      </c>
      <c r="AB8" s="205" t="s">
        <v>5</v>
      </c>
      <c r="AC8" s="205" t="s">
        <v>49</v>
      </c>
      <c r="AD8" s="206" t="s">
        <v>29</v>
      </c>
      <c r="AE8" s="189" t="s">
        <v>224</v>
      </c>
      <c r="AF8" s="189" t="s">
        <v>35</v>
      </c>
      <c r="AG8" s="189" t="s">
        <v>36</v>
      </c>
      <c r="AH8" s="189" t="s">
        <v>38</v>
      </c>
      <c r="AI8" s="189" t="s">
        <v>37</v>
      </c>
      <c r="AJ8" s="189" t="s">
        <v>39</v>
      </c>
      <c r="AK8" s="417"/>
      <c r="AL8" s="41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9"/>
      <c r="B9" s="222"/>
      <c r="C9" s="189"/>
      <c r="D9" s="189"/>
      <c r="E9" s="222"/>
      <c r="F9" s="214"/>
      <c r="G9" s="189"/>
      <c r="H9" s="214"/>
      <c r="I9" s="188"/>
      <c r="J9" s="214"/>
      <c r="K9" s="214"/>
      <c r="L9" s="188"/>
      <c r="M9" s="188"/>
      <c r="N9" s="189"/>
      <c r="O9" s="207"/>
      <c r="P9" s="189"/>
      <c r="Q9" s="214"/>
      <c r="R9" s="7" t="s">
        <v>13</v>
      </c>
      <c r="S9" s="7" t="s">
        <v>17</v>
      </c>
      <c r="T9" s="7" t="s">
        <v>28</v>
      </c>
      <c r="U9" s="7" t="s">
        <v>18</v>
      </c>
      <c r="V9" s="7" t="s">
        <v>21</v>
      </c>
      <c r="W9" s="7" t="s">
        <v>24</v>
      </c>
      <c r="X9" s="205"/>
      <c r="Y9" s="205"/>
      <c r="Z9" s="205"/>
      <c r="AA9" s="205"/>
      <c r="AB9" s="205"/>
      <c r="AC9" s="205"/>
      <c r="AD9" s="207"/>
      <c r="AE9" s="189"/>
      <c r="AF9" s="189"/>
      <c r="AG9" s="189"/>
      <c r="AH9" s="189"/>
      <c r="AI9" s="189"/>
      <c r="AJ9" s="189"/>
      <c r="AK9" s="189" t="s">
        <v>268</v>
      </c>
      <c r="AL9" s="189" t="s">
        <v>269</v>
      </c>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4.75" hidden="1" customHeight="1" x14ac:dyDescent="0.25">
      <c r="A10" s="229">
        <v>1</v>
      </c>
      <c r="B10" s="232"/>
      <c r="C10" s="235"/>
      <c r="D10" s="235"/>
      <c r="E10" s="235" t="s">
        <v>216</v>
      </c>
      <c r="F10" s="232"/>
      <c r="G10" s="245"/>
      <c r="H10" s="199" t="str">
        <f>IF(G10&lt;=0,"",IF(G10&lt;=2,"Muy Baja",IF(G10&lt;=24,"Baja",IF(G10&lt;=500,"Media",IF(G10&lt;=5000,"Alta","Muy Alta")))))</f>
        <v/>
      </c>
      <c r="I10" s="239" t="str">
        <f>IF(H10="","",IF(H10="Muy Baja",0.2,IF(H10="Baja",0.4,IF(H10="Media",0.6,IF(H10="Alta",0.8,IF(H10="Muy Alta",1,))))))</f>
        <v/>
      </c>
      <c r="J10" s="242"/>
      <c r="K10" s="193">
        <f>IF(NOT(ISERROR(MATCH(J10,'Tabla Impacto'!$B$221:$B$223,0))),'Tabla Impacto'!$F$223&amp;"Por favor no seleccionar los criterios de impacto(Afectación Económica o presupuestal y Pérdida Reputacional)",J10)</f>
        <v>0</v>
      </c>
      <c r="L10" s="199" t="str">
        <f>IF(OR(K10='Tabla Impacto'!$C$11,K10='Tabla Impacto'!$D$11),"Leve",IF(OR(K10='Tabla Impacto'!$C$12,K10='Tabla Impacto'!$D$12),"Menor",IF(OR(K10='Tabla Impacto'!$C$13,K10='Tabla Impacto'!$D$13),"Moderado",IF(OR(K10='Tabla Impacto'!$C$14,K10='Tabla Impacto'!$D$14),"Mayor",IF(OR(K10='Tabla Impacto'!$C$15,K10='Tabla Impacto'!$D$15),"Catastrófico","")))))</f>
        <v/>
      </c>
      <c r="M10" s="239" t="str">
        <f>IF(L10="","",IF(L10="Leve",0.2,IF(L10="Menor",0.4,IF(L10="Moderado",0.6,IF(L10="Mayor",0.8,IF(L10="Catastrófico",1,))))))</f>
        <v/>
      </c>
      <c r="N10" s="202"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120">
        <v>1</v>
      </c>
      <c r="P10" s="135" t="s">
        <v>214</v>
      </c>
      <c r="Q10" s="122" t="str">
        <f t="shared" ref="Q10:Q38" si="0">IF(OR(R10="Preventivo",R10="Detectivo"),"Probabilidad",IF(R10="Correctivo","Impacto",""))</f>
        <v/>
      </c>
      <c r="R10" s="123"/>
      <c r="S10" s="123"/>
      <c r="T10" s="136" t="str">
        <f t="shared" ref="T10:T38" si="1">IF(AND(R10="Preventivo",S10="Automático"),"50%",IF(AND(R10="Preventivo",S10="Manual"),"40%",IF(AND(R10="Detectivo",S10="Automático"),"40%",IF(AND(R10="Detectivo",S10="Manual"),"30%",IF(AND(R10="Correctivo",S10="Automático"),"35%",IF(AND(R10="Correctivo",S10="Manual"),"25%",""))))))</f>
        <v/>
      </c>
      <c r="U10" s="123"/>
      <c r="V10" s="123"/>
      <c r="W10" s="123"/>
      <c r="X10" s="125" t="str">
        <f>IFERROR(IF(Q10="Probabilidad",(I10-(+I10*T10)),IF(Q10="Impacto",I10,"")),"")</f>
        <v/>
      </c>
      <c r="Y10" s="126" t="str">
        <f>IFERROR(IF(X10="","",IF(X10&lt;=0.2,"Muy Baja",IF(X10&lt;=0.4,"Baja",IF(X10&lt;=0.6,"Media",IF(X10&lt;=0.8,"Alta","Muy Alta"))))),"")</f>
        <v/>
      </c>
      <c r="Z10" s="137" t="str">
        <f t="shared" ref="Z10:Z38" si="2">+X10</f>
        <v/>
      </c>
      <c r="AA10" s="126" t="str">
        <f>IFERROR(IF(AB10="","",IF(AB10&lt;=0.2,"Leve",IF(AB10&lt;=0.4,"Menor",IF(AB10&lt;=0.6,"Moderado",IF(AB10&lt;=0.8,"Mayor","Catastrófico"))))),"")</f>
        <v/>
      </c>
      <c r="AB10" s="136" t="str">
        <f>IFERROR(IF(Q10="Impacto",(M10-(+M10*T10)),IF(Q10="Probabilidad",M10,"")),"")</f>
        <v/>
      </c>
      <c r="AC10" s="128" t="str">
        <f t="shared" ref="AC10:AC38"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129"/>
      <c r="AE10" s="138"/>
      <c r="AF10" s="139"/>
      <c r="AG10" s="140"/>
      <c r="AH10" s="140"/>
      <c r="AI10" s="138"/>
      <c r="AJ10" s="139"/>
      <c r="AK10" s="189"/>
      <c r="AL10" s="189"/>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7.25" hidden="1" customHeight="1" x14ac:dyDescent="0.3">
      <c r="A11" s="230"/>
      <c r="B11" s="233"/>
      <c r="C11" s="236"/>
      <c r="D11" s="236"/>
      <c r="E11" s="236"/>
      <c r="F11" s="233"/>
      <c r="G11" s="246"/>
      <c r="H11" s="200"/>
      <c r="I11" s="240"/>
      <c r="J11" s="243"/>
      <c r="K11" s="194">
        <f>IF(NOT(ISERROR(MATCH(J11,_xlfn.ANCHORARRAY(E22),0))),I24&amp;"Por favor no seleccionar los criterios de impacto",J11)</f>
        <v>0</v>
      </c>
      <c r="L11" s="200"/>
      <c r="M11" s="240"/>
      <c r="N11" s="203"/>
      <c r="O11" s="120">
        <v>2</v>
      </c>
      <c r="P11" s="135" t="s">
        <v>215</v>
      </c>
      <c r="Q11" s="122" t="str">
        <f t="shared" si="0"/>
        <v/>
      </c>
      <c r="R11" s="123"/>
      <c r="S11" s="123"/>
      <c r="T11" s="136" t="str">
        <f t="shared" si="1"/>
        <v/>
      </c>
      <c r="U11" s="123"/>
      <c r="V11" s="123"/>
      <c r="W11" s="123"/>
      <c r="X11" s="125" t="str">
        <f>IFERROR(IF(AND(Q10="Probabilidad",Q11="Probabilidad"),(Z10-(+Z10*T11)),IF(Q11="Probabilidad",(I10-(+I10*T11)),IF(Q11="Impacto",Z10,""))),"")</f>
        <v/>
      </c>
      <c r="Y11" s="126" t="str">
        <f t="shared" ref="Y11:Y62" si="4">IFERROR(IF(X11="","",IF(X11&lt;=0.2,"Muy Baja",IF(X11&lt;=0.4,"Baja",IF(X11&lt;=0.6,"Media",IF(X11&lt;=0.8,"Alta","Muy Alta"))))),"")</f>
        <v/>
      </c>
      <c r="Z11" s="137" t="str">
        <f t="shared" si="2"/>
        <v/>
      </c>
      <c r="AA11" s="126" t="str">
        <f t="shared" ref="AA11:AA62" si="5">IFERROR(IF(AB11="","",IF(AB11&lt;=0.2,"Leve",IF(AB11&lt;=0.4,"Menor",IF(AB11&lt;=0.6,"Moderado",IF(AB11&lt;=0.8,"Mayor","Catastrófico"))))),"")</f>
        <v/>
      </c>
      <c r="AB11" s="136" t="str">
        <f>IFERROR(IF(AND(Q10="Impacto",Q11="Impacto"),(AB10-(+AB10*T11)),IF(Q11="Impacto",(M10-(+M10*T11)),IF(Q11="Probabilidad",AB10,""))),"")</f>
        <v/>
      </c>
      <c r="AC11" s="128" t="str">
        <f t="shared" si="3"/>
        <v/>
      </c>
      <c r="AD11" s="129"/>
      <c r="AE11" s="130"/>
      <c r="AF11" s="131"/>
      <c r="AG11" s="132"/>
      <c r="AH11" s="132"/>
      <c r="AI11" s="130"/>
      <c r="AJ11" s="131"/>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 hidden="1" customHeight="1" x14ac:dyDescent="0.3">
      <c r="A12" s="230"/>
      <c r="B12" s="233"/>
      <c r="C12" s="236"/>
      <c r="D12" s="236"/>
      <c r="E12" s="236"/>
      <c r="F12" s="233"/>
      <c r="G12" s="246"/>
      <c r="H12" s="200"/>
      <c r="I12" s="240"/>
      <c r="J12" s="243"/>
      <c r="K12" s="194">
        <f>IF(NOT(ISERROR(MATCH(J12,_xlfn.ANCHORARRAY(E23),0))),I25&amp;"Por favor no seleccionar los criterios de impacto",J12)</f>
        <v>0</v>
      </c>
      <c r="L12" s="200"/>
      <c r="M12" s="240"/>
      <c r="N12" s="203"/>
      <c r="O12" s="120">
        <v>3</v>
      </c>
      <c r="P12" s="133"/>
      <c r="Q12" s="122" t="str">
        <f t="shared" si="0"/>
        <v/>
      </c>
      <c r="R12" s="123"/>
      <c r="S12" s="123"/>
      <c r="T12" s="124" t="str">
        <f t="shared" si="1"/>
        <v/>
      </c>
      <c r="U12" s="123"/>
      <c r="V12" s="123"/>
      <c r="W12" s="123"/>
      <c r="X12" s="125" t="str">
        <f>IFERROR(IF(AND(Q11="Probabilidad",Q12="Probabilidad"),(Z11-(+Z11*T12)),IF(AND(Q11="Impacto",Q12="Probabilidad"),(Z10-(+Z10*T12)),IF(Q12="Impacto",Z11,""))),"")</f>
        <v/>
      </c>
      <c r="Y12" s="126" t="str">
        <f t="shared" si="4"/>
        <v/>
      </c>
      <c r="Z12" s="127" t="str">
        <f t="shared" si="2"/>
        <v/>
      </c>
      <c r="AA12" s="126" t="str">
        <f t="shared" si="5"/>
        <v/>
      </c>
      <c r="AB12" s="127" t="str">
        <f>IFERROR(IF(AND(Q11="Impacto",Q12="Impacto"),(AB11-(+AB11*T12)),IF(AND(Q11="Probabilidad",Q12="Impacto"),(AB10-(+AB10*T12)),IF(Q12="Probabilidad",AB11,""))),"")</f>
        <v/>
      </c>
      <c r="AC12" s="128" t="str">
        <f t="shared" si="3"/>
        <v/>
      </c>
      <c r="AD12" s="129"/>
      <c r="AE12" s="130"/>
      <c r="AF12" s="131"/>
      <c r="AG12" s="132"/>
      <c r="AH12" s="132"/>
      <c r="AI12" s="130"/>
      <c r="AJ12" s="131"/>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 hidden="1" customHeight="1" x14ac:dyDescent="0.3">
      <c r="A13" s="230"/>
      <c r="B13" s="233"/>
      <c r="C13" s="236"/>
      <c r="D13" s="236"/>
      <c r="E13" s="236"/>
      <c r="F13" s="233"/>
      <c r="G13" s="246"/>
      <c r="H13" s="200"/>
      <c r="I13" s="240"/>
      <c r="J13" s="243"/>
      <c r="K13" s="194">
        <f>IF(NOT(ISERROR(MATCH(J13,_xlfn.ANCHORARRAY(E24),0))),I26&amp;"Por favor no seleccionar los criterios de impacto",J13)</f>
        <v>0</v>
      </c>
      <c r="L13" s="200"/>
      <c r="M13" s="240"/>
      <c r="N13" s="203"/>
      <c r="O13" s="120">
        <v>4</v>
      </c>
      <c r="P13" s="121"/>
      <c r="Q13" s="122" t="str">
        <f t="shared" si="0"/>
        <v/>
      </c>
      <c r="R13" s="123"/>
      <c r="S13" s="123"/>
      <c r="T13" s="124" t="str">
        <f t="shared" si="1"/>
        <v/>
      </c>
      <c r="U13" s="123"/>
      <c r="V13" s="123"/>
      <c r="W13" s="123"/>
      <c r="X13" s="125" t="str">
        <f>IFERROR(IF(AND(Q12="Probabilidad",Q13="Probabilidad"),(Z12-(+Z12*T13)),IF(AND(Q12="Impacto",Q13="Probabilidad"),(Z11-(+Z11*T13)),IF(Q13="Impacto",Z12,""))),"")</f>
        <v/>
      </c>
      <c r="Y13" s="126" t="str">
        <f t="shared" si="4"/>
        <v/>
      </c>
      <c r="Z13" s="127" t="str">
        <f t="shared" si="2"/>
        <v/>
      </c>
      <c r="AA13" s="126" t="str">
        <f t="shared" si="5"/>
        <v/>
      </c>
      <c r="AB13" s="127" t="str">
        <f>IFERROR(IF(AND(Q12="Impacto",Q13="Impacto"),(AB12-(+AB12*T13)),IF(AND(Q12="Probabilidad",Q13="Impacto"),(AB11-(+AB11*T13)),IF(Q13="Probabilidad",AB12,""))),"")</f>
        <v/>
      </c>
      <c r="AC13" s="128" t="str">
        <f t="shared" si="3"/>
        <v/>
      </c>
      <c r="AD13" s="129"/>
      <c r="AE13" s="130"/>
      <c r="AF13" s="131"/>
      <c r="AG13" s="132"/>
      <c r="AH13" s="132"/>
      <c r="AI13" s="130"/>
      <c r="AJ13" s="131"/>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 hidden="1" customHeight="1" x14ac:dyDescent="0.3">
      <c r="A14" s="230"/>
      <c r="B14" s="233"/>
      <c r="C14" s="236"/>
      <c r="D14" s="236"/>
      <c r="E14" s="236"/>
      <c r="F14" s="233"/>
      <c r="G14" s="246"/>
      <c r="H14" s="200"/>
      <c r="I14" s="240"/>
      <c r="J14" s="243"/>
      <c r="K14" s="194">
        <f>IF(NOT(ISERROR(MATCH(J14,_xlfn.ANCHORARRAY(E25),0))),I27&amp;"Por favor no seleccionar los criterios de impacto",J14)</f>
        <v>0</v>
      </c>
      <c r="L14" s="200"/>
      <c r="M14" s="240"/>
      <c r="N14" s="203"/>
      <c r="O14" s="120">
        <v>5</v>
      </c>
      <c r="P14" s="121"/>
      <c r="Q14" s="122" t="str">
        <f t="shared" si="0"/>
        <v/>
      </c>
      <c r="R14" s="123"/>
      <c r="S14" s="123"/>
      <c r="T14" s="124" t="str">
        <f t="shared" si="1"/>
        <v/>
      </c>
      <c r="U14" s="123"/>
      <c r="V14" s="123"/>
      <c r="W14" s="123"/>
      <c r="X14" s="125" t="str">
        <f>IFERROR(IF(AND(Q13="Probabilidad",Q14="Probabilidad"),(Z13-(+Z13*T14)),IF(AND(Q13="Impacto",Q14="Probabilidad"),(Z12-(+Z12*T14)),IF(Q14="Impacto",Z13,""))),"")</f>
        <v/>
      </c>
      <c r="Y14" s="126" t="str">
        <f t="shared" si="4"/>
        <v/>
      </c>
      <c r="Z14" s="127" t="str">
        <f t="shared" si="2"/>
        <v/>
      </c>
      <c r="AA14" s="126" t="str">
        <f t="shared" si="5"/>
        <v/>
      </c>
      <c r="AB14" s="127" t="str">
        <f>IFERROR(IF(AND(Q13="Impacto",Q14="Impacto"),(AB13-(+AB13*T14)),IF(AND(Q13="Probabilidad",Q14="Impacto"),(AB12-(+AB12*T14)),IF(Q14="Probabilidad",AB13,""))),"")</f>
        <v/>
      </c>
      <c r="AC14" s="128" t="str">
        <f t="shared" si="3"/>
        <v/>
      </c>
      <c r="AD14" s="129"/>
      <c r="AE14" s="130"/>
      <c r="AF14" s="131"/>
      <c r="AG14" s="132"/>
      <c r="AH14" s="132"/>
      <c r="AI14" s="130"/>
      <c r="AJ14" s="131"/>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 hidden="1" customHeight="1" x14ac:dyDescent="0.3">
      <c r="A15" s="231"/>
      <c r="B15" s="234"/>
      <c r="C15" s="237"/>
      <c r="D15" s="237"/>
      <c r="E15" s="237"/>
      <c r="F15" s="234"/>
      <c r="G15" s="247"/>
      <c r="H15" s="201"/>
      <c r="I15" s="241"/>
      <c r="J15" s="244"/>
      <c r="K15" s="195">
        <f>IF(NOT(ISERROR(MATCH(J15,_xlfn.ANCHORARRAY(E26),0))),I28&amp;"Por favor no seleccionar los criterios de impacto",J15)</f>
        <v>0</v>
      </c>
      <c r="L15" s="201"/>
      <c r="M15" s="241"/>
      <c r="N15" s="204"/>
      <c r="O15" s="120">
        <v>6</v>
      </c>
      <c r="P15" s="121"/>
      <c r="Q15" s="122" t="str">
        <f t="shared" si="0"/>
        <v/>
      </c>
      <c r="R15" s="123"/>
      <c r="S15" s="123"/>
      <c r="T15" s="124" t="str">
        <f t="shared" si="1"/>
        <v/>
      </c>
      <c r="U15" s="123"/>
      <c r="V15" s="123"/>
      <c r="W15" s="123"/>
      <c r="X15" s="125" t="str">
        <f>IFERROR(IF(AND(Q14="Probabilidad",Q15="Probabilidad"),(Z14-(+Z14*T15)),IF(AND(Q14="Impacto",Q15="Probabilidad"),(Z13-(+Z13*T15)),IF(Q15="Impacto",Z14,""))),"")</f>
        <v/>
      </c>
      <c r="Y15" s="126" t="str">
        <f t="shared" si="4"/>
        <v/>
      </c>
      <c r="Z15" s="127" t="str">
        <f t="shared" si="2"/>
        <v/>
      </c>
      <c r="AA15" s="126" t="str">
        <f t="shared" si="5"/>
        <v/>
      </c>
      <c r="AB15" s="127" t="str">
        <f>IFERROR(IF(AND(Q14="Impacto",Q15="Impacto"),(AB14-(+AB14*T15)),IF(AND(Q14="Probabilidad",Q15="Impacto"),(AB13-(+AB13*T15)),IF(Q15="Probabilidad",AB14,""))),"")</f>
        <v/>
      </c>
      <c r="AC15" s="128" t="str">
        <f t="shared" si="3"/>
        <v/>
      </c>
      <c r="AD15" s="129"/>
      <c r="AE15" s="130"/>
      <c r="AF15" s="131"/>
      <c r="AG15" s="132"/>
      <c r="AH15" s="132"/>
      <c r="AI15" s="130"/>
      <c r="AJ15" s="131"/>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54.75" customHeight="1" x14ac:dyDescent="0.3">
      <c r="A16" s="229">
        <v>2</v>
      </c>
      <c r="B16" s="208" t="s">
        <v>134</v>
      </c>
      <c r="C16" s="208" t="s">
        <v>223</v>
      </c>
      <c r="D16" s="208" t="s">
        <v>227</v>
      </c>
      <c r="E16" s="208" t="s">
        <v>231</v>
      </c>
      <c r="F16" s="208" t="s">
        <v>123</v>
      </c>
      <c r="G16" s="211">
        <v>80</v>
      </c>
      <c r="H16" s="199" t="str">
        <f>IF(G16&lt;=0,"",IF(G16&lt;=2,"Muy Baja",IF(G16&lt;=24,"Baja",IF(G16&lt;=500,"Media",IF(G16&lt;=5000,"Alta","Muy Alta")))))</f>
        <v>Media</v>
      </c>
      <c r="I16" s="193">
        <f>IF(H16="","",IF(H16="Muy Baja",0.2,IF(H16="Baja",0.4,IF(H16="Media",0.6,IF(H16="Alta",0.8,IF(H16="Muy Alta",1,))))))</f>
        <v>0.6</v>
      </c>
      <c r="J16" s="190" t="s">
        <v>151</v>
      </c>
      <c r="K16" s="196" t="str">
        <f>IF(NOT(ISERROR(MATCH(J16,'Tabla Impacto'!$B$221:$B$223,0))),'Tabla Impacto'!$F$223&amp;"Por favor no seleccionar los criterios de impacto(Afectación Económica o presupuestal y Pérdida Reputacional)",J16)</f>
        <v xml:space="preserve">     Entre 100 y 500 SMLMV </v>
      </c>
      <c r="L16" s="199" t="str">
        <f>IF(OR(K16='Tabla Impacto'!$C$11,K16='Tabla Impacto'!$D$11),"Leve",IF(OR(K16='Tabla Impacto'!$C$12,K16='Tabla Impacto'!$D$12),"Menor",IF(OR(K16='Tabla Impacto'!$C$13,K16='Tabla Impacto'!$D$13),"Moderado",IF(OR(K16='Tabla Impacto'!$C$14,K16='Tabla Impacto'!$D$14),"Mayor",IF(OR(K16='Tabla Impacto'!$C$15,K16='Tabla Impacto'!$D$15),"Catastrófico","")))))</f>
        <v>Mayor</v>
      </c>
      <c r="M16" s="193">
        <f>IF(L16="","",IF(L16="Leve",0.2,IF(L16="Menor",0.4,IF(L16="Moderado",0.6,IF(L16="Mayor",0.8,IF(L16="Catastrófico",1,))))))</f>
        <v>0.8</v>
      </c>
      <c r="N16" s="20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20">
        <v>1</v>
      </c>
      <c r="P16" s="147" t="s">
        <v>235</v>
      </c>
      <c r="Q16" s="122" t="str">
        <f t="shared" si="0"/>
        <v>Probabilidad</v>
      </c>
      <c r="R16" s="123" t="s">
        <v>14</v>
      </c>
      <c r="S16" s="123" t="s">
        <v>9</v>
      </c>
      <c r="T16" s="124" t="str">
        <f t="shared" si="1"/>
        <v>40%</v>
      </c>
      <c r="U16" s="123" t="s">
        <v>19</v>
      </c>
      <c r="V16" s="123" t="s">
        <v>22</v>
      </c>
      <c r="W16" s="123" t="s">
        <v>119</v>
      </c>
      <c r="X16" s="125">
        <f>IFERROR(IF(Q16="Probabilidad",(I16-(+I16*T16)),IF(Q16="Impacto",I16,"")),"")</f>
        <v>0.36</v>
      </c>
      <c r="Y16" s="126" t="str">
        <f>IFERROR(IF(X16="","",IF(X16&lt;=0.2,"Muy Baja",IF(X16&lt;=0.4,"Baja",IF(X16&lt;=0.6,"Media",IF(X16&lt;=0.8,"Alta","Muy Alta"))))),"")</f>
        <v>Baja</v>
      </c>
      <c r="Z16" s="127">
        <f t="shared" si="2"/>
        <v>0.36</v>
      </c>
      <c r="AA16" s="126" t="str">
        <f>IFERROR(IF(AB16="","",IF(AB16&lt;=0.2,"Leve",IF(AB16&lt;=0.4,"Menor",IF(AB16&lt;=0.6,"Moderado",IF(AB16&lt;=0.8,"Mayor","Catastrófico"))))),"")</f>
        <v>Mayor</v>
      </c>
      <c r="AB16" s="127">
        <f>IFERROR(IF(Q16="Impacto",(M16-(+M16*T16)),IF(Q16="Probabilidad",M16,"")),"")</f>
        <v>0.8</v>
      </c>
      <c r="AC16" s="128" t="str">
        <f t="shared" si="3"/>
        <v>Alto</v>
      </c>
      <c r="AD16" s="129" t="s">
        <v>136</v>
      </c>
      <c r="AE16" s="130" t="s">
        <v>247</v>
      </c>
      <c r="AF16" s="130" t="s">
        <v>258</v>
      </c>
      <c r="AG16" s="141" t="s">
        <v>260</v>
      </c>
      <c r="AH16" s="141" t="s">
        <v>260</v>
      </c>
      <c r="AI16" s="141" t="s">
        <v>260</v>
      </c>
      <c r="AJ16" s="131" t="s">
        <v>41</v>
      </c>
      <c r="AK16" s="121"/>
      <c r="AL16" s="12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39" customHeight="1" x14ac:dyDescent="0.3">
      <c r="A17" s="230"/>
      <c r="B17" s="209"/>
      <c r="C17" s="209"/>
      <c r="D17" s="209"/>
      <c r="E17" s="209"/>
      <c r="F17" s="209"/>
      <c r="G17" s="212"/>
      <c r="H17" s="200"/>
      <c r="I17" s="194"/>
      <c r="J17" s="191"/>
      <c r="K17" s="197">
        <f>IF(NOT(ISERROR(MATCH(J17,_xlfn.ANCHORARRAY(E28),0))),I29&amp;"Por favor no seleccionar los criterios de impacto",J17)</f>
        <v>0</v>
      </c>
      <c r="L17" s="200"/>
      <c r="M17" s="194"/>
      <c r="N17" s="203"/>
      <c r="O17" s="120">
        <v>2</v>
      </c>
      <c r="P17" s="147" t="s">
        <v>236</v>
      </c>
      <c r="Q17" s="122" t="str">
        <f t="shared" si="0"/>
        <v>Probabilidad</v>
      </c>
      <c r="R17" s="123" t="s">
        <v>14</v>
      </c>
      <c r="S17" s="123" t="s">
        <v>9</v>
      </c>
      <c r="T17" s="124" t="str">
        <f t="shared" si="1"/>
        <v>40%</v>
      </c>
      <c r="U17" s="123" t="s">
        <v>19</v>
      </c>
      <c r="V17" s="123" t="s">
        <v>22</v>
      </c>
      <c r="W17" s="123" t="s">
        <v>119</v>
      </c>
      <c r="X17" s="125">
        <f>IFERROR(IF(AND(Q16="Probabilidad",Q17="Probabilidad"),(Z16-(+Z16*T17)),IF(Q17="Probabilidad",(I16-(+I16*T17)),IF(Q17="Impacto",Z16,""))),"")</f>
        <v>0.216</v>
      </c>
      <c r="Y17" s="126" t="str">
        <f t="shared" si="4"/>
        <v>Baja</v>
      </c>
      <c r="Z17" s="127">
        <f t="shared" si="2"/>
        <v>0.216</v>
      </c>
      <c r="AA17" s="128" t="str">
        <f t="shared" si="5"/>
        <v>Mayor</v>
      </c>
      <c r="AB17" s="127">
        <f>IFERROR(IF(AND(Q16="Impacto",Q17="Impacto"),(AB16-(+AB16*T17)),IF(Q17="Impacto",(M16-(+M16*T17)),IF(Q17="Probabilidad",AB16,""))),"")</f>
        <v>0.8</v>
      </c>
      <c r="AC17" s="128" t="str">
        <f t="shared" si="3"/>
        <v>Alto</v>
      </c>
      <c r="AD17" s="129" t="s">
        <v>136</v>
      </c>
      <c r="AE17" s="130" t="s">
        <v>248</v>
      </c>
      <c r="AF17" s="130" t="s">
        <v>258</v>
      </c>
      <c r="AG17" s="141" t="s">
        <v>260</v>
      </c>
      <c r="AH17" s="141" t="s">
        <v>260</v>
      </c>
      <c r="AI17" s="141" t="s">
        <v>260</v>
      </c>
      <c r="AJ17" s="131" t="s">
        <v>41</v>
      </c>
      <c r="AK17" s="121"/>
      <c r="AL17" s="12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45.75" customHeight="1" x14ac:dyDescent="0.3">
      <c r="A18" s="230"/>
      <c r="B18" s="209"/>
      <c r="C18" s="209"/>
      <c r="D18" s="209"/>
      <c r="E18" s="209"/>
      <c r="F18" s="209"/>
      <c r="G18" s="212"/>
      <c r="H18" s="200"/>
      <c r="I18" s="194"/>
      <c r="J18" s="191"/>
      <c r="K18" s="197">
        <f>IF(NOT(ISERROR(MATCH(J18,_xlfn.ANCHORARRAY(#REF!),0))),I30&amp;"Por favor no seleccionar los criterios de impacto",J18)</f>
        <v>0</v>
      </c>
      <c r="L18" s="200"/>
      <c r="M18" s="194"/>
      <c r="N18" s="203"/>
      <c r="O18" s="120">
        <v>3</v>
      </c>
      <c r="P18" s="133" t="s">
        <v>237</v>
      </c>
      <c r="Q18" s="122" t="str">
        <f t="shared" ref="Q18:Q20" si="6">IF(OR(R18="Preventivo",R18="Detectivo"),"Probabilidad",IF(R18="Correctivo","Impacto",""))</f>
        <v>Probabilidad</v>
      </c>
      <c r="R18" s="123" t="s">
        <v>14</v>
      </c>
      <c r="S18" s="123" t="s">
        <v>9</v>
      </c>
      <c r="T18" s="124" t="str">
        <f t="shared" ref="T18:T20" si="7">IF(AND(R18="Preventivo",S18="Automático"),"50%",IF(AND(R18="Preventivo",S18="Manual"),"40%",IF(AND(R18="Detectivo",S18="Automático"),"40%",IF(AND(R18="Detectivo",S18="Manual"),"30%",IF(AND(R18="Correctivo",S18="Automático"),"35%",IF(AND(R18="Correctivo",S18="Manual"),"25%",""))))))</f>
        <v>40%</v>
      </c>
      <c r="U18" s="123" t="s">
        <v>19</v>
      </c>
      <c r="V18" s="123" t="s">
        <v>22</v>
      </c>
      <c r="W18" s="123" t="s">
        <v>119</v>
      </c>
      <c r="X18" s="125">
        <f t="shared" ref="X18:X20" si="8">IFERROR(IF(AND(Q17="Probabilidad",Q18="Probabilidad"),(Z17-(+Z17*T18)),IF(Q18="Probabilidad",(I17-(+I17*T18)),IF(Q18="Impacto",Z17,""))),"")</f>
        <v>0.12959999999999999</v>
      </c>
      <c r="Y18" s="126" t="str">
        <f t="shared" ref="Y18:Y20" si="9">IFERROR(IF(X18="","",IF(X18&lt;=0.2,"Muy Baja",IF(X18&lt;=0.4,"Baja",IF(X18&lt;=0.6,"Media",IF(X18&lt;=0.8,"Alta","Muy Alta"))))),"")</f>
        <v>Muy Baja</v>
      </c>
      <c r="Z18" s="127">
        <f t="shared" ref="Z18:Z20" si="10">+X18</f>
        <v>0.12959999999999999</v>
      </c>
      <c r="AA18" s="128" t="str">
        <f t="shared" ref="AA18:AA20" si="11">IFERROR(IF(AB18="","",IF(AB18&lt;=0.2,"Leve",IF(AB18&lt;=0.4,"Menor",IF(AB18&lt;=0.6,"Moderado",IF(AB18&lt;=0.8,"Mayor","Catastrófico"))))),"")</f>
        <v>Mayor</v>
      </c>
      <c r="AB18" s="127">
        <f t="shared" ref="AB18:AB20" si="12">IFERROR(IF(AND(Q17="Impacto",Q18="Impacto"),(AB17-(+AB17*T18)),IF(Q18="Impacto",(M17-(+M17*T18)),IF(Q18="Probabilidad",AB17,""))),"")</f>
        <v>0.8</v>
      </c>
      <c r="AC18" s="128" t="str">
        <f t="shared" ref="AC18:AC20" si="13">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29" t="s">
        <v>136</v>
      </c>
      <c r="AE18" s="130" t="s">
        <v>249</v>
      </c>
      <c r="AF18" s="131" t="s">
        <v>258</v>
      </c>
      <c r="AG18" s="132" t="s">
        <v>220</v>
      </c>
      <c r="AH18" s="132" t="s">
        <v>220</v>
      </c>
      <c r="AI18" s="132" t="s">
        <v>220</v>
      </c>
      <c r="AJ18" s="131" t="s">
        <v>41</v>
      </c>
      <c r="AK18" s="411"/>
      <c r="AL18" s="411"/>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75" customHeight="1" x14ac:dyDescent="0.3">
      <c r="A19" s="230"/>
      <c r="B19" s="209"/>
      <c r="C19" s="209"/>
      <c r="D19" s="209"/>
      <c r="E19" s="209"/>
      <c r="F19" s="209"/>
      <c r="G19" s="212"/>
      <c r="H19" s="200"/>
      <c r="I19" s="194"/>
      <c r="J19" s="191"/>
      <c r="K19" s="197">
        <f>IF(NOT(ISERROR(MATCH(J19,_xlfn.ANCHORARRAY(E29),0))),I31&amp;"Por favor no seleccionar los criterios de impacto",J19)</f>
        <v>0</v>
      </c>
      <c r="L19" s="200"/>
      <c r="M19" s="194"/>
      <c r="N19" s="203"/>
      <c r="O19" s="120">
        <v>4</v>
      </c>
      <c r="P19" s="147" t="s">
        <v>238</v>
      </c>
      <c r="Q19" s="122" t="str">
        <f t="shared" si="6"/>
        <v>Probabilidad</v>
      </c>
      <c r="R19" s="123" t="s">
        <v>14</v>
      </c>
      <c r="S19" s="123" t="s">
        <v>9</v>
      </c>
      <c r="T19" s="124" t="str">
        <f t="shared" si="7"/>
        <v>40%</v>
      </c>
      <c r="U19" s="123" t="s">
        <v>19</v>
      </c>
      <c r="V19" s="123" t="s">
        <v>22</v>
      </c>
      <c r="W19" s="123" t="s">
        <v>119</v>
      </c>
      <c r="X19" s="125">
        <f t="shared" si="8"/>
        <v>7.7759999999999996E-2</v>
      </c>
      <c r="Y19" s="126" t="str">
        <f t="shared" si="9"/>
        <v>Muy Baja</v>
      </c>
      <c r="Z19" s="127">
        <f t="shared" si="10"/>
        <v>7.7759999999999996E-2</v>
      </c>
      <c r="AA19" s="128" t="str">
        <f t="shared" si="11"/>
        <v>Mayor</v>
      </c>
      <c r="AB19" s="127">
        <f t="shared" si="12"/>
        <v>0.8</v>
      </c>
      <c r="AC19" s="128" t="str">
        <f t="shared" si="13"/>
        <v>Alto</v>
      </c>
      <c r="AD19" s="129" t="s">
        <v>136</v>
      </c>
      <c r="AE19" s="130" t="s">
        <v>250</v>
      </c>
      <c r="AF19" s="131" t="s">
        <v>258</v>
      </c>
      <c r="AG19" s="132" t="s">
        <v>260</v>
      </c>
      <c r="AH19" s="132" t="s">
        <v>260</v>
      </c>
      <c r="AI19" s="132" t="s">
        <v>260</v>
      </c>
      <c r="AJ19" s="131" t="s">
        <v>41</v>
      </c>
      <c r="AK19" s="412"/>
      <c r="AL19" s="412"/>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75" customHeight="1" x14ac:dyDescent="0.3">
      <c r="A20" s="230"/>
      <c r="B20" s="209"/>
      <c r="C20" s="209"/>
      <c r="D20" s="209"/>
      <c r="E20" s="209"/>
      <c r="F20" s="209"/>
      <c r="G20" s="212"/>
      <c r="H20" s="200"/>
      <c r="I20" s="194"/>
      <c r="J20" s="191"/>
      <c r="K20" s="197">
        <f>IF(NOT(ISERROR(MATCH(J20,_xlfn.ANCHORARRAY(E30),0))),I32&amp;"Por favor no seleccionar los criterios de impacto",J20)</f>
        <v>0</v>
      </c>
      <c r="L20" s="200"/>
      <c r="M20" s="194"/>
      <c r="N20" s="203"/>
      <c r="O20" s="120">
        <v>5</v>
      </c>
      <c r="P20" s="147" t="s">
        <v>239</v>
      </c>
      <c r="Q20" s="122" t="str">
        <f t="shared" si="6"/>
        <v>Probabilidad</v>
      </c>
      <c r="R20" s="123" t="s">
        <v>14</v>
      </c>
      <c r="S20" s="123" t="s">
        <v>9</v>
      </c>
      <c r="T20" s="124" t="str">
        <f t="shared" si="7"/>
        <v>40%</v>
      </c>
      <c r="U20" s="123" t="s">
        <v>19</v>
      </c>
      <c r="V20" s="123" t="s">
        <v>22</v>
      </c>
      <c r="W20" s="123" t="s">
        <v>119</v>
      </c>
      <c r="X20" s="125">
        <f t="shared" si="8"/>
        <v>4.6655999999999996E-2</v>
      </c>
      <c r="Y20" s="126" t="str">
        <f t="shared" si="9"/>
        <v>Muy Baja</v>
      </c>
      <c r="Z20" s="127">
        <f t="shared" si="10"/>
        <v>4.6655999999999996E-2</v>
      </c>
      <c r="AA20" s="128" t="str">
        <f t="shared" si="11"/>
        <v>Mayor</v>
      </c>
      <c r="AB20" s="127">
        <f t="shared" si="12"/>
        <v>0.8</v>
      </c>
      <c r="AC20" s="128" t="str">
        <f t="shared" si="13"/>
        <v>Alto</v>
      </c>
      <c r="AD20" s="129" t="s">
        <v>136</v>
      </c>
      <c r="AE20" s="130" t="s">
        <v>251</v>
      </c>
      <c r="AF20" s="131" t="s">
        <v>258</v>
      </c>
      <c r="AG20" s="132" t="s">
        <v>220</v>
      </c>
      <c r="AH20" s="132" t="s">
        <v>220</v>
      </c>
      <c r="AI20" s="132" t="s">
        <v>220</v>
      </c>
      <c r="AJ20" s="131" t="s">
        <v>41</v>
      </c>
      <c r="AK20" s="412"/>
      <c r="AL20" s="412"/>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75" hidden="1" customHeight="1" x14ac:dyDescent="0.3">
      <c r="A21" s="231"/>
      <c r="B21" s="210"/>
      <c r="C21" s="210"/>
      <c r="D21" s="210"/>
      <c r="E21" s="210"/>
      <c r="F21" s="210"/>
      <c r="G21" s="213"/>
      <c r="H21" s="201"/>
      <c r="I21" s="195"/>
      <c r="J21" s="192"/>
      <c r="K21" s="198">
        <f>IF(NOT(ISERROR(MATCH(J21,_xlfn.ANCHORARRAY(E31),0))),I33&amp;"Por favor no seleccionar los criterios de impacto",J21)</f>
        <v>0</v>
      </c>
      <c r="L21" s="201"/>
      <c r="M21" s="195"/>
      <c r="N21" s="204"/>
      <c r="O21" s="120">
        <v>6</v>
      </c>
      <c r="P21" s="147"/>
      <c r="Q21" s="122" t="str">
        <f t="shared" si="0"/>
        <v/>
      </c>
      <c r="R21" s="123"/>
      <c r="S21" s="123"/>
      <c r="T21" s="124" t="str">
        <f t="shared" si="1"/>
        <v/>
      </c>
      <c r="U21" s="123"/>
      <c r="V21" s="123"/>
      <c r="W21" s="123"/>
      <c r="X21" s="125" t="str">
        <f>IFERROR(IF(AND(Q20="Probabilidad",Q21="Probabilidad"),(Z20-(+Z20*T21)),IF(AND(Q20="Impacto",Q21="Probabilidad"),(Z19-(+Z19*T21)),IF(Q21="Impacto",Z20,""))),"")</f>
        <v/>
      </c>
      <c r="Y21" s="126" t="str">
        <f t="shared" si="4"/>
        <v/>
      </c>
      <c r="Z21" s="127" t="str">
        <f t="shared" si="2"/>
        <v/>
      </c>
      <c r="AA21" s="126" t="str">
        <f t="shared" si="5"/>
        <v/>
      </c>
      <c r="AB21" s="127" t="str">
        <f>IFERROR(IF(AND(Q20="Impacto",Q21="Impacto"),(AB20-(+AB20*T21)),IF(AND(Q20="Probabilidad",Q21="Impacto"),(AB19-(+AB19*T21)),IF(Q21="Probabilidad",AB20,""))),"")</f>
        <v/>
      </c>
      <c r="AC21" s="128" t="str">
        <f t="shared" si="3"/>
        <v/>
      </c>
      <c r="AD21" s="129"/>
      <c r="AE21" s="130"/>
      <c r="AF21" s="131"/>
      <c r="AG21" s="132"/>
      <c r="AH21" s="132"/>
      <c r="AI21" s="130"/>
      <c r="AJ21" s="131"/>
      <c r="AK21" s="412"/>
      <c r="AL21" s="412"/>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29">
        <v>3</v>
      </c>
      <c r="B22" s="208" t="s">
        <v>134</v>
      </c>
      <c r="C22" s="208" t="s">
        <v>217</v>
      </c>
      <c r="D22" s="208" t="s">
        <v>228</v>
      </c>
      <c r="E22" s="208" t="s">
        <v>232</v>
      </c>
      <c r="F22" s="208" t="s">
        <v>123</v>
      </c>
      <c r="G22" s="211">
        <v>80</v>
      </c>
      <c r="H22" s="199" t="str">
        <f>IF(G22&lt;=0,"",IF(G22&lt;=2,"Muy Baja",IF(G22&lt;=24,"Baja",IF(G22&lt;=500,"Media",IF(G22&lt;=5000,"Alta","Muy Alta")))))</f>
        <v>Media</v>
      </c>
      <c r="I22" s="193">
        <f>IF(H22="","",IF(H22="Muy Baja",0.2,IF(H22="Baja",0.4,IF(H22="Media",0.6,IF(H22="Alta",0.8,IF(H22="Muy Alta",1,))))))</f>
        <v>0.6</v>
      </c>
      <c r="J22" s="190" t="s">
        <v>150</v>
      </c>
      <c r="K22" s="193" t="str">
        <f>IF(NOT(ISERROR(MATCH(J22,'Tabla Impacto'!$B$221:$B$223,0))),'Tabla Impacto'!$F$223&amp;"Por favor no seleccionar los criterios de impacto(Afectación Económica o presupuestal y Pérdida Reputacional)",J22)</f>
        <v xml:space="preserve">     Entre 10 y 50 SMLMV </v>
      </c>
      <c r="L22" s="199" t="str">
        <f>IF(OR(K22='Tabla Impacto'!$C$11,K22='Tabla Impacto'!$D$11),"Leve",IF(OR(K22='Tabla Impacto'!$C$12,K22='Tabla Impacto'!$D$12),"Menor",IF(OR(K22='Tabla Impacto'!$C$13,K22='Tabla Impacto'!$D$13),"Moderado",IF(OR(K22='Tabla Impacto'!$C$14,K22='Tabla Impacto'!$D$14),"Mayor",IF(OR(K22='Tabla Impacto'!$C$15,K22='Tabla Impacto'!$D$15),"Catastrófico","")))))</f>
        <v>Menor</v>
      </c>
      <c r="M22" s="193">
        <f>IF(L22="","",IF(L22="Leve",0.2,IF(L22="Menor",0.4,IF(L22="Moderado",0.6,IF(L22="Mayor",0.8,IF(L22="Catastrófico",1,))))))</f>
        <v>0.4</v>
      </c>
      <c r="N22" s="20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0">
        <v>1</v>
      </c>
      <c r="P22" s="147" t="s">
        <v>240</v>
      </c>
      <c r="Q22" s="122" t="str">
        <f t="shared" si="0"/>
        <v>Probabilidad</v>
      </c>
      <c r="R22" s="123" t="s">
        <v>15</v>
      </c>
      <c r="S22" s="123" t="s">
        <v>9</v>
      </c>
      <c r="T22" s="124" t="str">
        <f t="shared" si="1"/>
        <v>30%</v>
      </c>
      <c r="U22" s="123" t="s">
        <v>19</v>
      </c>
      <c r="V22" s="123" t="s">
        <v>22</v>
      </c>
      <c r="W22" s="123" t="s">
        <v>119</v>
      </c>
      <c r="X22" s="125">
        <f>IFERROR(IF(Q22="Probabilidad",(I22-(+I22*T22)),IF(Q22="Impacto",I22,"")),"")</f>
        <v>0.42</v>
      </c>
      <c r="Y22" s="126" t="str">
        <f>IFERROR(IF(X22="","",IF(X22&lt;=0.2,"Muy Baja",IF(X22&lt;=0.4,"Baja",IF(X22&lt;=0.6,"Media",IF(X22&lt;=0.8,"Alta","Muy Alta"))))),"")</f>
        <v>Media</v>
      </c>
      <c r="Z22" s="127">
        <f t="shared" si="2"/>
        <v>0.42</v>
      </c>
      <c r="AA22" s="126" t="str">
        <f>IFERROR(IF(AB22="","",IF(AB22&lt;=0.2,"Leve",IF(AB22&lt;=0.4,"Menor",IF(AB22&lt;=0.6,"Moderado",IF(AB22&lt;=0.8,"Mayor","Catastrófico"))))),"")</f>
        <v>Menor</v>
      </c>
      <c r="AB22" s="127">
        <f>IFERROR(IF(Q22="Impacto",(M22-(+M22*T22)),IF(Q22="Probabilidad",M22,"")),"")</f>
        <v>0.4</v>
      </c>
      <c r="AC22" s="128" t="str">
        <f t="shared" si="3"/>
        <v>Moderado</v>
      </c>
      <c r="AD22" s="129" t="s">
        <v>136</v>
      </c>
      <c r="AE22" s="130" t="s">
        <v>252</v>
      </c>
      <c r="AF22" s="130" t="s">
        <v>258</v>
      </c>
      <c r="AG22" s="132" t="s">
        <v>219</v>
      </c>
      <c r="AH22" s="132" t="s">
        <v>219</v>
      </c>
      <c r="AI22" s="132" t="s">
        <v>219</v>
      </c>
      <c r="AJ22" s="131" t="s">
        <v>41</v>
      </c>
      <c r="AK22" s="413"/>
      <c r="AL22" s="413"/>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79.5" customHeight="1" x14ac:dyDescent="0.3">
      <c r="A23" s="230"/>
      <c r="B23" s="209"/>
      <c r="C23" s="209"/>
      <c r="D23" s="209"/>
      <c r="E23" s="209"/>
      <c r="F23" s="209"/>
      <c r="G23" s="212"/>
      <c r="H23" s="200"/>
      <c r="I23" s="194"/>
      <c r="J23" s="191"/>
      <c r="K23" s="194">
        <f>IF(NOT(ISERROR(MATCH(J23,_xlfn.ANCHORARRAY(E33),0))),I35&amp;"Por favor no seleccionar los criterios de impacto",J23)</f>
        <v>0</v>
      </c>
      <c r="L23" s="200"/>
      <c r="M23" s="194"/>
      <c r="N23" s="203"/>
      <c r="O23" s="120">
        <v>2</v>
      </c>
      <c r="P23" s="147" t="s">
        <v>241</v>
      </c>
      <c r="Q23" s="122" t="str">
        <f t="shared" si="0"/>
        <v>Probabilidad</v>
      </c>
      <c r="R23" s="123" t="s">
        <v>14</v>
      </c>
      <c r="S23" s="123" t="s">
        <v>9</v>
      </c>
      <c r="T23" s="124" t="str">
        <f t="shared" si="1"/>
        <v>40%</v>
      </c>
      <c r="U23" s="123" t="s">
        <v>19</v>
      </c>
      <c r="V23" s="123" t="s">
        <v>22</v>
      </c>
      <c r="W23" s="123" t="s">
        <v>119</v>
      </c>
      <c r="X23" s="134">
        <f>IFERROR(IF(AND(Q22="Probabilidad",Q23="Probabilidad"),(Z22-(+Z22*T23)),IF(Q23="Probabilidad",(I22-(+I22*T23)),IF(Q23="Impacto",Z22,""))),"")</f>
        <v>0.252</v>
      </c>
      <c r="Y23" s="126" t="str">
        <f t="shared" si="4"/>
        <v>Baja</v>
      </c>
      <c r="Z23" s="127">
        <f t="shared" si="2"/>
        <v>0.252</v>
      </c>
      <c r="AA23" s="126" t="str">
        <f t="shared" si="5"/>
        <v>Menor</v>
      </c>
      <c r="AB23" s="127">
        <f>IFERROR(IF(AND(Q22="Impacto",Q23="Impacto"),(AB22-(+AB22*T23)),IF(Q23="Impacto",(M22-(+M22*T23)),IF(Q23="Probabilidad",AB22,""))),"")</f>
        <v>0.4</v>
      </c>
      <c r="AC23" s="128" t="str">
        <f t="shared" si="3"/>
        <v>Moderado</v>
      </c>
      <c r="AD23" s="129" t="s">
        <v>136</v>
      </c>
      <c r="AE23" s="130" t="s">
        <v>253</v>
      </c>
      <c r="AF23" s="130" t="s">
        <v>258</v>
      </c>
      <c r="AG23" s="132" t="s">
        <v>219</v>
      </c>
      <c r="AH23" s="132" t="s">
        <v>219</v>
      </c>
      <c r="AI23" s="132" t="s">
        <v>219</v>
      </c>
      <c r="AJ23" s="131" t="s">
        <v>41</v>
      </c>
      <c r="AK23" s="413"/>
      <c r="AL23" s="413"/>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21.75" customHeight="1" x14ac:dyDescent="0.3">
      <c r="A24" s="230"/>
      <c r="B24" s="209"/>
      <c r="C24" s="209"/>
      <c r="D24" s="209"/>
      <c r="E24" s="209"/>
      <c r="F24" s="209"/>
      <c r="G24" s="212"/>
      <c r="H24" s="200"/>
      <c r="I24" s="194"/>
      <c r="J24" s="191"/>
      <c r="K24" s="194">
        <f>IF(NOT(ISERROR(MATCH(J24,_xlfn.ANCHORARRAY(E34),0))),I36&amp;"Por favor no seleccionar los criterios de impacto",J24)</f>
        <v>0</v>
      </c>
      <c r="L24" s="200"/>
      <c r="M24" s="194"/>
      <c r="N24" s="203"/>
      <c r="O24" s="120">
        <v>3</v>
      </c>
      <c r="P24" s="133" t="s">
        <v>242</v>
      </c>
      <c r="Q24" s="122" t="str">
        <f t="shared" ref="Q24" si="14">IF(OR(R24="Preventivo",R24="Detectivo"),"Probabilidad",IF(R24="Correctivo","Impacto",""))</f>
        <v>Probabilidad</v>
      </c>
      <c r="R24" s="123" t="s">
        <v>15</v>
      </c>
      <c r="S24" s="123" t="s">
        <v>9</v>
      </c>
      <c r="T24" s="124" t="str">
        <f t="shared" ref="T24" si="15">IF(AND(R24="Preventivo",S24="Automático"),"50%",IF(AND(R24="Preventivo",S24="Manual"),"40%",IF(AND(R24="Detectivo",S24="Automático"),"40%",IF(AND(R24="Detectivo",S24="Manual"),"30%",IF(AND(R24="Correctivo",S24="Automático"),"35%",IF(AND(R24="Correctivo",S24="Manual"),"25%",""))))))</f>
        <v>30%</v>
      </c>
      <c r="U24" s="123" t="s">
        <v>19</v>
      </c>
      <c r="V24" s="123" t="s">
        <v>22</v>
      </c>
      <c r="W24" s="123" t="s">
        <v>119</v>
      </c>
      <c r="X24" s="134">
        <f>IFERROR(IF(AND(Q23="Probabilidad",Q24="Probabilidad"),(Z23-(+Z23*T24)),IF(Q24="Probabilidad",(I23-(+I23*T24)),IF(Q24="Impacto",Z23,""))),"")</f>
        <v>0.1764</v>
      </c>
      <c r="Y24" s="126" t="str">
        <f t="shared" ref="Y24" si="16">IFERROR(IF(X24="","",IF(X24&lt;=0.2,"Muy Baja",IF(X24&lt;=0.4,"Baja",IF(X24&lt;=0.6,"Media",IF(X24&lt;=0.8,"Alta","Muy Alta"))))),"")</f>
        <v>Muy Baja</v>
      </c>
      <c r="Z24" s="127">
        <f t="shared" ref="Z24" si="17">+X24</f>
        <v>0.1764</v>
      </c>
      <c r="AA24" s="126" t="str">
        <f t="shared" ref="AA24" si="18">IFERROR(IF(AB24="","",IF(AB24&lt;=0.2,"Leve",IF(AB24&lt;=0.4,"Menor",IF(AB24&lt;=0.6,"Moderado",IF(AB24&lt;=0.8,"Mayor","Catastrófico"))))),"")</f>
        <v>Menor</v>
      </c>
      <c r="AB24" s="127">
        <f>IFERROR(IF(AND(Q23="Impacto",Q24="Impacto"),(AB23-(+AB23*T24)),IF(Q24="Impacto",(M23-(+M23*T24)),IF(Q24="Probabilidad",AB23,""))),"")</f>
        <v>0.4</v>
      </c>
      <c r="AC24" s="128" t="str">
        <f t="shared" ref="AC24" si="19">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Bajo</v>
      </c>
      <c r="AD24" s="129" t="s">
        <v>136</v>
      </c>
      <c r="AE24" s="130" t="s">
        <v>254</v>
      </c>
      <c r="AF24" s="131" t="s">
        <v>258</v>
      </c>
      <c r="AG24" s="132" t="s">
        <v>219</v>
      </c>
      <c r="AH24" s="132" t="s">
        <v>219</v>
      </c>
      <c r="AI24" s="132" t="s">
        <v>219</v>
      </c>
      <c r="AJ24" s="131" t="s">
        <v>41</v>
      </c>
      <c r="AK24" s="413"/>
      <c r="AL24" s="414"/>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39" customHeight="1" x14ac:dyDescent="0.3">
      <c r="A25" s="230"/>
      <c r="B25" s="209"/>
      <c r="C25" s="209"/>
      <c r="D25" s="209"/>
      <c r="E25" s="209"/>
      <c r="F25" s="209"/>
      <c r="G25" s="212"/>
      <c r="H25" s="200"/>
      <c r="I25" s="194"/>
      <c r="J25" s="191"/>
      <c r="K25" s="194">
        <f>IF(NOT(ISERROR(MATCH(J25,_xlfn.ANCHORARRAY(E35),0))),I37&amp;"Por favor no seleccionar los criterios de impacto",J25)</f>
        <v>0</v>
      </c>
      <c r="L25" s="200"/>
      <c r="M25" s="194"/>
      <c r="N25" s="203"/>
      <c r="O25" s="120">
        <v>4</v>
      </c>
      <c r="P25" s="147" t="s">
        <v>243</v>
      </c>
      <c r="Q25" s="122" t="str">
        <f t="shared" ref="Q25" si="20">IF(OR(R25="Preventivo",R25="Detectivo"),"Probabilidad",IF(R25="Correctivo","Impacto",""))</f>
        <v>Probabilidad</v>
      </c>
      <c r="R25" s="123" t="s">
        <v>14</v>
      </c>
      <c r="S25" s="123" t="s">
        <v>9</v>
      </c>
      <c r="T25" s="124" t="str">
        <f t="shared" ref="T25" si="21">IF(AND(R25="Preventivo",S25="Automático"),"50%",IF(AND(R25="Preventivo",S25="Manual"),"40%",IF(AND(R25="Detectivo",S25="Automático"),"40%",IF(AND(R25="Detectivo",S25="Manual"),"30%",IF(AND(R25="Correctivo",S25="Automático"),"35%",IF(AND(R25="Correctivo",S25="Manual"),"25%",""))))))</f>
        <v>40%</v>
      </c>
      <c r="U25" s="123" t="s">
        <v>19</v>
      </c>
      <c r="V25" s="123" t="s">
        <v>22</v>
      </c>
      <c r="W25" s="123" t="s">
        <v>119</v>
      </c>
      <c r="X25" s="134">
        <f>IFERROR(IF(AND(Q24="Probabilidad",Q25="Probabilidad"),(Z24-(+Z24*T25)),IF(Q25="Probabilidad",(I24-(+I24*T25)),IF(Q25="Impacto",Z24,""))),"")</f>
        <v>0.10584</v>
      </c>
      <c r="Y25" s="126" t="str">
        <f t="shared" ref="Y25" si="22">IFERROR(IF(X25="","",IF(X25&lt;=0.2,"Muy Baja",IF(X25&lt;=0.4,"Baja",IF(X25&lt;=0.6,"Media",IF(X25&lt;=0.8,"Alta","Muy Alta"))))),"")</f>
        <v>Muy Baja</v>
      </c>
      <c r="Z25" s="127">
        <f t="shared" ref="Z25" si="23">+X25</f>
        <v>0.10584</v>
      </c>
      <c r="AA25" s="126" t="str">
        <f t="shared" ref="AA25" si="24">IFERROR(IF(AB25="","",IF(AB25&lt;=0.2,"Leve",IF(AB25&lt;=0.4,"Menor",IF(AB25&lt;=0.6,"Moderado",IF(AB25&lt;=0.8,"Mayor","Catastrófico"))))),"")</f>
        <v>Menor</v>
      </c>
      <c r="AB25" s="127">
        <f>IFERROR(IF(AND(Q24="Impacto",Q25="Impacto"),(AB24-(+AB24*T25)),IF(Q25="Impacto",(M24-(+M24*T25)),IF(Q25="Probabilidad",AB24,""))),"")</f>
        <v>0.4</v>
      </c>
      <c r="AC25" s="128" t="str">
        <f t="shared" ref="AC25" si="25">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Bajo</v>
      </c>
      <c r="AD25" s="129" t="s">
        <v>136</v>
      </c>
      <c r="AE25" s="130" t="s">
        <v>251</v>
      </c>
      <c r="AF25" s="131" t="s">
        <v>258</v>
      </c>
      <c r="AG25" s="132" t="s">
        <v>220</v>
      </c>
      <c r="AH25" s="132" t="s">
        <v>220</v>
      </c>
      <c r="AI25" s="132" t="s">
        <v>220</v>
      </c>
      <c r="AJ25" s="131" t="s">
        <v>41</v>
      </c>
      <c r="AK25" s="411"/>
      <c r="AL25" s="412"/>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21.75" hidden="1" customHeight="1" x14ac:dyDescent="0.3">
      <c r="A26" s="230"/>
      <c r="B26" s="209"/>
      <c r="C26" s="209"/>
      <c r="D26" s="209"/>
      <c r="E26" s="209"/>
      <c r="F26" s="209"/>
      <c r="G26" s="212"/>
      <c r="H26" s="200"/>
      <c r="I26" s="194"/>
      <c r="J26" s="191"/>
      <c r="K26" s="194">
        <f>IF(NOT(ISERROR(MATCH(J26,_xlfn.ANCHORARRAY(E36),0))),I38&amp;"Por favor no seleccionar los criterios de impacto",J26)</f>
        <v>0</v>
      </c>
      <c r="L26" s="200"/>
      <c r="M26" s="194"/>
      <c r="N26" s="203"/>
      <c r="O26" s="120">
        <v>5</v>
      </c>
      <c r="P26" s="147"/>
      <c r="Q26" s="122" t="str">
        <f t="shared" si="0"/>
        <v/>
      </c>
      <c r="R26" s="123"/>
      <c r="S26" s="123"/>
      <c r="T26" s="124" t="str">
        <f t="shared" si="1"/>
        <v/>
      </c>
      <c r="U26" s="123"/>
      <c r="V26" s="123"/>
      <c r="W26" s="123"/>
      <c r="X26" s="125" t="str">
        <f>IFERROR(IF(AND(Q25="Probabilidad",Q26="Probabilidad"),(Z25-(+Z25*T26)),IF(AND(Q25="Impacto",Q26="Probabilidad"),(Z24-(+Z24*T26)),IF(Q26="Impacto",Z25,""))),"")</f>
        <v/>
      </c>
      <c r="Y26" s="126" t="str">
        <f t="shared" si="4"/>
        <v/>
      </c>
      <c r="Z26" s="127" t="str">
        <f t="shared" si="2"/>
        <v/>
      </c>
      <c r="AA26" s="126" t="str">
        <f t="shared" si="5"/>
        <v/>
      </c>
      <c r="AB26" s="127" t="str">
        <f>IFERROR(IF(AND(Q25="Impacto",Q26="Impacto"),(AB25-(+AB25*T26)),IF(AND(Q25="Probabilidad",Q26="Impacto"),(AB24-(+AB24*T26)),IF(Q26="Probabilidad",AB25,""))),"")</f>
        <v/>
      </c>
      <c r="AC26" s="128" t="str">
        <f t="shared" si="3"/>
        <v/>
      </c>
      <c r="AD26" s="129"/>
      <c r="AE26" s="130"/>
      <c r="AF26" s="131"/>
      <c r="AG26" s="132"/>
      <c r="AH26" s="132"/>
      <c r="AI26" s="130"/>
      <c r="AJ26" s="131"/>
      <c r="AK26" s="411"/>
      <c r="AL26" s="412"/>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21.75" hidden="1" customHeight="1" x14ac:dyDescent="0.3">
      <c r="A27" s="231"/>
      <c r="B27" s="210"/>
      <c r="C27" s="210"/>
      <c r="D27" s="210"/>
      <c r="E27" s="210"/>
      <c r="F27" s="210"/>
      <c r="G27" s="213"/>
      <c r="H27" s="201"/>
      <c r="I27" s="195"/>
      <c r="J27" s="192"/>
      <c r="K27" s="195">
        <f>IF(NOT(ISERROR(MATCH(J27,_xlfn.ANCHORARRAY(E37),0))),#REF!&amp;"Por favor no seleccionar los criterios de impacto",J27)</f>
        <v>0</v>
      </c>
      <c r="L27" s="201"/>
      <c r="M27" s="195"/>
      <c r="N27" s="204"/>
      <c r="O27" s="120">
        <v>6</v>
      </c>
      <c r="P27" s="147"/>
      <c r="Q27" s="122" t="str">
        <f t="shared" si="0"/>
        <v/>
      </c>
      <c r="R27" s="123"/>
      <c r="S27" s="123"/>
      <c r="T27" s="124" t="str">
        <f t="shared" si="1"/>
        <v/>
      </c>
      <c r="U27" s="123"/>
      <c r="V27" s="123"/>
      <c r="W27" s="123"/>
      <c r="X27" s="125" t="str">
        <f>IFERROR(IF(AND(Q26="Probabilidad",Q27="Probabilidad"),(Z26-(+Z26*T27)),IF(AND(Q26="Impacto",Q27="Probabilidad"),(Z25-(+Z25*T27)),IF(Q27="Impacto",Z26,""))),"")</f>
        <v/>
      </c>
      <c r="Y27" s="126" t="str">
        <f t="shared" si="4"/>
        <v/>
      </c>
      <c r="Z27" s="127" t="str">
        <f t="shared" si="2"/>
        <v/>
      </c>
      <c r="AA27" s="126" t="str">
        <f t="shared" si="5"/>
        <v/>
      </c>
      <c r="AB27" s="127" t="str">
        <f>IFERROR(IF(AND(Q26="Impacto",Q27="Impacto"),(AB26-(+AB26*T27)),IF(AND(Q26="Probabilidad",Q27="Impacto"),(AB25-(+AB25*T27)),IF(Q27="Probabilidad",AB26,""))),"")</f>
        <v/>
      </c>
      <c r="AC27" s="128" t="str">
        <f t="shared" si="3"/>
        <v/>
      </c>
      <c r="AD27" s="129"/>
      <c r="AE27" s="130"/>
      <c r="AF27" s="131"/>
      <c r="AG27" s="132"/>
      <c r="AH27" s="132"/>
      <c r="AI27" s="130"/>
      <c r="AJ27" s="131"/>
      <c r="AK27" s="411"/>
      <c r="AL27" s="412"/>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55.5" customHeight="1" x14ac:dyDescent="0.3">
      <c r="A28" s="229">
        <v>4</v>
      </c>
      <c r="B28" s="249" t="s">
        <v>134</v>
      </c>
      <c r="C28" s="249" t="s">
        <v>218</v>
      </c>
      <c r="D28" s="249" t="s">
        <v>229</v>
      </c>
      <c r="E28" s="208" t="s">
        <v>233</v>
      </c>
      <c r="F28" s="249" t="s">
        <v>123</v>
      </c>
      <c r="G28" s="211">
        <v>12</v>
      </c>
      <c r="H28" s="199" t="str">
        <f>IF(G28&lt;=0,"",IF(G28&lt;=2,"Muy Baja",IF(G28&lt;=24,"Baja",IF(G28&lt;=500,"Media",IF(G28&lt;=5000,"Alta","Muy Alta")))))</f>
        <v>Baja</v>
      </c>
      <c r="I28" s="193">
        <f>IF(H28="","",IF(H28="Muy Baja",0.2,IF(H28="Baja",0.4,IF(H28="Media",0.6,IF(H28="Alta",0.8,IF(H28="Muy Alta",1,))))))</f>
        <v>0.4</v>
      </c>
      <c r="J28" s="190" t="s">
        <v>149</v>
      </c>
      <c r="K28" s="193" t="str">
        <f>IF(NOT(ISERROR(MATCH(J28,'Tabla Impacto'!$B$221:$B$223,0))),'Tabla Impacto'!$F$223&amp;"Por favor no seleccionar los criterios de impacto(Afectación Económica o presupuestal y Pérdida Reputacional)",J28)</f>
        <v xml:space="preserve">     Entre 50 y 100 SMLMV </v>
      </c>
      <c r="L28" s="199" t="str">
        <f>IF(OR(K28='Tabla Impacto'!$C$11,K28='Tabla Impacto'!$D$11),"Leve",IF(OR(K28='Tabla Impacto'!$C$12,K28='Tabla Impacto'!$D$12),"Menor",IF(OR(K28='Tabla Impacto'!$C$13,K28='Tabla Impacto'!$D$13),"Moderado",IF(OR(K28='Tabla Impacto'!$C$14,K28='Tabla Impacto'!$D$14),"Mayor",IF(OR(K28='Tabla Impacto'!$C$15,K28='Tabla Impacto'!$D$15),"Catastrófico","")))))</f>
        <v>Moderado</v>
      </c>
      <c r="M28" s="193">
        <f>IF(L28="","",IF(L28="Leve",0.2,IF(L28="Menor",0.4,IF(L28="Moderado",0.6,IF(L28="Mayor",0.8,IF(L28="Catastrófico",1,))))))</f>
        <v>0.6</v>
      </c>
      <c r="N28" s="202"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0">
        <v>1</v>
      </c>
      <c r="P28" s="147" t="s">
        <v>244</v>
      </c>
      <c r="Q28" s="122" t="str">
        <f t="shared" si="0"/>
        <v>Probabilidad</v>
      </c>
      <c r="R28" s="123" t="s">
        <v>14</v>
      </c>
      <c r="S28" s="123" t="s">
        <v>9</v>
      </c>
      <c r="T28" s="124" t="str">
        <f t="shared" si="1"/>
        <v>40%</v>
      </c>
      <c r="U28" s="123" t="s">
        <v>19</v>
      </c>
      <c r="V28" s="123" t="s">
        <v>22</v>
      </c>
      <c r="W28" s="123" t="s">
        <v>119</v>
      </c>
      <c r="X28" s="125">
        <f>IFERROR(IF(Q28="Probabilidad",(I28-(+I28*T28)),IF(Q28="Impacto",I28,"")),"")</f>
        <v>0.24</v>
      </c>
      <c r="Y28" s="126" t="str">
        <f>IFERROR(IF(X28="","",IF(X28&lt;=0.2,"Muy Baja",IF(X28&lt;=0.4,"Baja",IF(X28&lt;=0.6,"Media",IF(X28&lt;=0.8,"Alta","Muy Alta"))))),"")</f>
        <v>Baja</v>
      </c>
      <c r="Z28" s="127">
        <f t="shared" si="2"/>
        <v>0.24</v>
      </c>
      <c r="AA28" s="126" t="str">
        <f>IFERROR(IF(AB28="","",IF(AB28&lt;=0.2,"Leve",IF(AB28&lt;=0.4,"Menor",IF(AB28&lt;=0.6,"Moderado",IF(AB28&lt;=0.8,"Mayor","Catastrófico"))))),"")</f>
        <v>Moderado</v>
      </c>
      <c r="AB28" s="127">
        <f>IFERROR(IF(Q28="Impacto",(M28-(+M28*T28)),IF(Q28="Probabilidad",M28,"")),"")</f>
        <v>0.6</v>
      </c>
      <c r="AC28" s="128" t="str">
        <f t="shared" si="3"/>
        <v>Moderado</v>
      </c>
      <c r="AD28" s="129" t="s">
        <v>136</v>
      </c>
      <c r="AE28" s="130" t="s">
        <v>255</v>
      </c>
      <c r="AF28" s="130" t="s">
        <v>259</v>
      </c>
      <c r="AG28" s="141" t="s">
        <v>261</v>
      </c>
      <c r="AH28" s="141" t="s">
        <v>261</v>
      </c>
      <c r="AI28" s="141" t="s">
        <v>261</v>
      </c>
      <c r="AJ28" s="131" t="s">
        <v>41</v>
      </c>
      <c r="AK28" s="414"/>
      <c r="AL28" s="414"/>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39.75" customHeight="1" x14ac:dyDescent="0.3">
      <c r="A29" s="230"/>
      <c r="B29" s="250"/>
      <c r="C29" s="250"/>
      <c r="D29" s="250"/>
      <c r="E29" s="209"/>
      <c r="F29" s="250"/>
      <c r="G29" s="212"/>
      <c r="H29" s="200"/>
      <c r="I29" s="194"/>
      <c r="J29" s="191"/>
      <c r="K29" s="194">
        <f>IF(NOT(ISERROR(MATCH(J29,_xlfn.ANCHORARRAY(#REF!),0))),#REF!&amp;"Por favor no seleccionar los criterios de impacto",J29)</f>
        <v>0</v>
      </c>
      <c r="L29" s="200"/>
      <c r="M29" s="194"/>
      <c r="N29" s="203"/>
      <c r="O29" s="120">
        <v>2</v>
      </c>
      <c r="P29" s="133" t="s">
        <v>245</v>
      </c>
      <c r="Q29" s="122" t="str">
        <f t="shared" ref="Q29" si="26">IF(OR(R29="Preventivo",R29="Detectivo"),"Probabilidad",IF(R29="Correctivo","Impacto",""))</f>
        <v>Probabilidad</v>
      </c>
      <c r="R29" s="123" t="s">
        <v>14</v>
      </c>
      <c r="S29" s="123" t="s">
        <v>9</v>
      </c>
      <c r="T29" s="124" t="str">
        <f t="shared" ref="T29" si="27">IF(AND(R29="Preventivo",S29="Automático"),"50%",IF(AND(R29="Preventivo",S29="Manual"),"40%",IF(AND(R29="Detectivo",S29="Automático"),"40%",IF(AND(R29="Detectivo",S29="Manual"),"30%",IF(AND(R29="Correctivo",S29="Automático"),"35%",IF(AND(R29="Correctivo",S29="Manual"),"25%",""))))))</f>
        <v>40%</v>
      </c>
      <c r="U29" s="123" t="s">
        <v>19</v>
      </c>
      <c r="V29" s="123" t="s">
        <v>22</v>
      </c>
      <c r="W29" s="123" t="s">
        <v>119</v>
      </c>
      <c r="X29" s="125">
        <f>IFERROR(IF(Q29="Probabilidad",(I29-(+I29*T29)),IF(Q29="Impacto",I29,"")),"")</f>
        <v>0</v>
      </c>
      <c r="Y29" s="126" t="str">
        <f>IFERROR(IF(X29="","",IF(X29&lt;=0.2,"Muy Baja",IF(X29&lt;=0.4,"Baja",IF(X29&lt;=0.6,"Media",IF(X29&lt;=0.8,"Alta","Muy Alta"))))),"")</f>
        <v>Muy Baja</v>
      </c>
      <c r="Z29" s="127">
        <f t="shared" ref="Z29" si="28">+X29</f>
        <v>0</v>
      </c>
      <c r="AA29" s="126" t="str">
        <f>IFERROR(IF(AB29="","",IF(AB29&lt;=0.2,"Leve",IF(AB29&lt;=0.4,"Menor",IF(AB29&lt;=0.6,"Moderado",IF(AB29&lt;=0.8,"Mayor","Catastrófico"))))),"")</f>
        <v>Leve</v>
      </c>
      <c r="AB29" s="127">
        <f>IFERROR(IF(Q29="Impacto",(M29-(+M29*T29)),IF(Q29="Probabilidad",M29,"")),"")</f>
        <v>0</v>
      </c>
      <c r="AC29" s="128" t="str">
        <f t="shared" ref="AC29" si="29">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Bajo</v>
      </c>
      <c r="AD29" s="129" t="s">
        <v>136</v>
      </c>
      <c r="AE29" s="130" t="s">
        <v>256</v>
      </c>
      <c r="AF29" s="131" t="s">
        <v>259</v>
      </c>
      <c r="AG29" s="132" t="s">
        <v>260</v>
      </c>
      <c r="AH29" s="132" t="s">
        <v>260</v>
      </c>
      <c r="AI29" s="132" t="s">
        <v>260</v>
      </c>
      <c r="AJ29" s="131" t="s">
        <v>41</v>
      </c>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 hidden="1" customHeight="1" x14ac:dyDescent="0.3">
      <c r="A30" s="230"/>
      <c r="B30" s="250"/>
      <c r="C30" s="250"/>
      <c r="D30" s="250"/>
      <c r="E30" s="209"/>
      <c r="F30" s="250"/>
      <c r="G30" s="212"/>
      <c r="H30" s="200"/>
      <c r="I30" s="194"/>
      <c r="J30" s="191"/>
      <c r="K30" s="194">
        <f>IF(NOT(ISERROR(MATCH(J30,_xlfn.ANCHORARRAY(#REF!),0))),#REF!&amp;"Por favor no seleccionar los criterios de impacto",J30)</f>
        <v>0</v>
      </c>
      <c r="L30" s="200"/>
      <c r="M30" s="194"/>
      <c r="N30" s="203"/>
      <c r="O30" s="120">
        <v>3</v>
      </c>
      <c r="P30" s="147"/>
      <c r="Q30" s="122" t="str">
        <f t="shared" si="0"/>
        <v/>
      </c>
      <c r="R30" s="123"/>
      <c r="S30" s="123"/>
      <c r="T30" s="124" t="str">
        <f t="shared" si="1"/>
        <v/>
      </c>
      <c r="U30" s="123"/>
      <c r="V30" s="123"/>
      <c r="W30" s="123"/>
      <c r="X30" s="125" t="str">
        <f>IFERROR(IF(AND(Q29="Probabilidad",Q30="Probabilidad"),(Z29-(+Z29*T30)),IF(AND(Q29="Impacto",Q30="Probabilidad"),(#REF!-(+#REF!*T30)),IF(Q30="Impacto",Z29,""))),"")</f>
        <v/>
      </c>
      <c r="Y30" s="126" t="str">
        <f t="shared" si="4"/>
        <v/>
      </c>
      <c r="Z30" s="127" t="str">
        <f t="shared" si="2"/>
        <v/>
      </c>
      <c r="AA30" s="126" t="str">
        <f t="shared" si="5"/>
        <v/>
      </c>
      <c r="AB30" s="127" t="str">
        <f>IFERROR(IF(AND(Q29="Impacto",Q30="Impacto"),(AB29-(+AB29*T30)),IF(AND(Q29="Probabilidad",Q30="Impacto"),(#REF!-(+#REF!*T30)),IF(Q30="Probabilidad",AB29,""))),"")</f>
        <v/>
      </c>
      <c r="AC30" s="128" t="str">
        <f t="shared" si="3"/>
        <v/>
      </c>
      <c r="AD30" s="129"/>
      <c r="AE30" s="130"/>
      <c r="AF30" s="131"/>
      <c r="AG30" s="132"/>
      <c r="AH30" s="132"/>
      <c r="AI30" s="130"/>
      <c r="AJ30" s="131"/>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 hidden="1" customHeight="1" x14ac:dyDescent="0.3">
      <c r="A31" s="230"/>
      <c r="B31" s="250"/>
      <c r="C31" s="250"/>
      <c r="D31" s="250"/>
      <c r="E31" s="209"/>
      <c r="F31" s="250"/>
      <c r="G31" s="212"/>
      <c r="H31" s="200"/>
      <c r="I31" s="194"/>
      <c r="J31" s="191"/>
      <c r="K31" s="194">
        <f>IF(NOT(ISERROR(MATCH(J31,_xlfn.ANCHORARRAY(#REF!),0))),#REF!&amp;"Por favor no seleccionar los criterios de impacto",J31)</f>
        <v>0</v>
      </c>
      <c r="L31" s="200"/>
      <c r="M31" s="194"/>
      <c r="N31" s="203"/>
      <c r="O31" s="120">
        <v>4</v>
      </c>
      <c r="P31" s="147"/>
      <c r="Q31" s="122" t="str">
        <f t="shared" si="0"/>
        <v/>
      </c>
      <c r="R31" s="123"/>
      <c r="S31" s="123"/>
      <c r="T31" s="124" t="str">
        <f t="shared" si="1"/>
        <v/>
      </c>
      <c r="U31" s="123"/>
      <c r="V31" s="123"/>
      <c r="W31" s="123"/>
      <c r="X31" s="134" t="str">
        <f>IFERROR(IF(AND(Q30="Probabilidad",Q31="Probabilidad"),(Z30-(+Z30*T31)),IF(AND(Q30="Impacto",Q31="Probabilidad"),(Z29-(+Z29*T31)),IF(Q31="Impacto",Z30,""))),"")</f>
        <v/>
      </c>
      <c r="Y31" s="126" t="str">
        <f>IFERROR(IF(X31="","",IF(X31&lt;=0.2,"Muy Baja",IF(X31&lt;=0.4,"Baja",IF(X31&lt;=0.6,"Media",IF(X31&lt;=0.8,"Alta","Muy Alta"))))),"")</f>
        <v/>
      </c>
      <c r="Z31" s="127" t="str">
        <f t="shared" si="2"/>
        <v/>
      </c>
      <c r="AA31" s="126" t="str">
        <f t="shared" si="5"/>
        <v/>
      </c>
      <c r="AB31" s="127" t="str">
        <f>IFERROR(IF(AND(Q30="Impacto",Q31="Impacto"),(AB30-(+AB30*T31)),IF(AND(Q30="Probabilidad",Q31="Impacto"),(AB29-(+AB29*T31)),IF(Q31="Probabilidad",AB30,""))),"")</f>
        <v/>
      </c>
      <c r="AC31" s="128" t="str">
        <f t="shared" si="3"/>
        <v/>
      </c>
      <c r="AD31" s="129"/>
      <c r="AE31" s="130"/>
      <c r="AF31" s="131"/>
      <c r="AG31" s="132"/>
      <c r="AH31" s="132"/>
      <c r="AI31" s="130"/>
      <c r="AJ31" s="131"/>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 hidden="1" customHeight="1" x14ac:dyDescent="0.3">
      <c r="A32" s="231"/>
      <c r="B32" s="251"/>
      <c r="C32" s="251"/>
      <c r="D32" s="251"/>
      <c r="E32" s="210"/>
      <c r="F32" s="251"/>
      <c r="G32" s="213"/>
      <c r="H32" s="201"/>
      <c r="I32" s="195"/>
      <c r="J32" s="192"/>
      <c r="K32" s="195">
        <f>IF(NOT(ISERROR(MATCH(J32,_xlfn.ANCHORARRAY(#REF!),0))),I39&amp;"Por favor no seleccionar los criterios de impacto",J32)</f>
        <v>0</v>
      </c>
      <c r="L32" s="201"/>
      <c r="M32" s="195"/>
      <c r="N32" s="204"/>
      <c r="O32" s="120">
        <v>5</v>
      </c>
      <c r="P32" s="147"/>
      <c r="Q32" s="122" t="str">
        <f t="shared" si="0"/>
        <v/>
      </c>
      <c r="R32" s="123"/>
      <c r="S32" s="123"/>
      <c r="T32" s="124" t="str">
        <f t="shared" si="1"/>
        <v/>
      </c>
      <c r="U32" s="123"/>
      <c r="V32" s="123"/>
      <c r="W32" s="123"/>
      <c r="X32" s="125" t="str">
        <f>IFERROR(IF(AND(Q31="Probabilidad",Q32="Probabilidad"),(Z31-(+Z31*T32)),IF(AND(Q31="Impacto",Q32="Probabilidad"),(Z30-(+Z30*T32)),IF(Q32="Impacto",Z31,""))),"")</f>
        <v/>
      </c>
      <c r="Y32" s="126" t="str">
        <f t="shared" si="4"/>
        <v/>
      </c>
      <c r="Z32" s="127" t="str">
        <f t="shared" si="2"/>
        <v/>
      </c>
      <c r="AA32" s="126" t="str">
        <f t="shared" si="5"/>
        <v/>
      </c>
      <c r="AB32" s="127" t="str">
        <f>IFERROR(IF(AND(Q31="Impacto",Q32="Impacto"),(AB31-(+AB31*T32)),IF(AND(Q31="Probabilidad",Q32="Impacto"),(AB30-(+AB30*T32)),IF(Q32="Probabilidad",AB31,""))),"")</f>
        <v/>
      </c>
      <c r="AC32" s="128" t="str">
        <f t="shared" si="3"/>
        <v/>
      </c>
      <c r="AD32" s="129"/>
      <c r="AE32" s="130"/>
      <c r="AF32" s="131"/>
      <c r="AG32" s="132"/>
      <c r="AH32" s="132"/>
      <c r="AI32" s="130"/>
      <c r="AJ32" s="131"/>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54.75" customHeight="1" x14ac:dyDescent="0.3">
      <c r="A33" s="229">
        <v>5</v>
      </c>
      <c r="B33" s="249" t="s">
        <v>134</v>
      </c>
      <c r="C33" s="249" t="s">
        <v>218</v>
      </c>
      <c r="D33" s="249" t="s">
        <v>230</v>
      </c>
      <c r="E33" s="208" t="s">
        <v>234</v>
      </c>
      <c r="F33" s="249" t="s">
        <v>123</v>
      </c>
      <c r="G33" s="211">
        <v>60</v>
      </c>
      <c r="H33" s="199" t="str">
        <f>IF(G33&lt;=0,"",IF(G33&lt;=2,"Muy Baja",IF(G33&lt;=24,"Baja",IF(G33&lt;=500,"Media",IF(G33&lt;=5000,"Alta","Muy Alta")))))</f>
        <v>Media</v>
      </c>
      <c r="I33" s="193">
        <f>IF(H33="","",IF(H33="Muy Baja",0.2,IF(H33="Baja",0.4,IF(H33="Media",0.6,IF(H33="Alta",0.8,IF(H33="Muy Alta",1,))))))</f>
        <v>0.6</v>
      </c>
      <c r="J33" s="190" t="s">
        <v>151</v>
      </c>
      <c r="K33" s="193" t="str">
        <f>IF(NOT(ISERROR(MATCH(J33,'Tabla Impacto'!$B$221:$B$223,0))),'Tabla Impacto'!$F$223&amp;"Por favor no seleccionar los criterios de impacto(Afectación Económica o presupuestal y Pérdida Reputacional)",J33)</f>
        <v xml:space="preserve">     Entre 100 y 500 SMLMV </v>
      </c>
      <c r="L33" s="199" t="str">
        <f>IF(OR(K33='Tabla Impacto'!$C$11,K33='Tabla Impacto'!$D$11),"Leve",IF(OR(K33='Tabla Impacto'!$C$12,K33='Tabla Impacto'!$D$12),"Menor",IF(OR(K33='Tabla Impacto'!$C$13,K33='Tabla Impacto'!$D$13),"Moderado",IF(OR(K33='Tabla Impacto'!$C$14,K33='Tabla Impacto'!$D$14),"Mayor",IF(OR(K33='Tabla Impacto'!$C$15,K33='Tabla Impacto'!$D$15),"Catastrófico","")))))</f>
        <v>Mayor</v>
      </c>
      <c r="M33" s="193">
        <f>IF(L33="","",IF(L33="Leve",0.2,IF(L33="Menor",0.4,IF(L33="Moderado",0.6,IF(L33="Mayor",0.8,IF(L33="Catastrófico",1,))))))</f>
        <v>0.8</v>
      </c>
      <c r="N33" s="202"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120">
        <v>1</v>
      </c>
      <c r="P33" s="147" t="s">
        <v>225</v>
      </c>
      <c r="Q33" s="122" t="str">
        <f t="shared" si="0"/>
        <v>Probabilidad</v>
      </c>
      <c r="R33" s="123" t="s">
        <v>15</v>
      </c>
      <c r="S33" s="123" t="s">
        <v>9</v>
      </c>
      <c r="T33" s="124" t="str">
        <f t="shared" si="1"/>
        <v>30%</v>
      </c>
      <c r="U33" s="123" t="s">
        <v>19</v>
      </c>
      <c r="V33" s="123" t="s">
        <v>22</v>
      </c>
      <c r="W33" s="123" t="s">
        <v>119</v>
      </c>
      <c r="X33" s="125">
        <f>IFERROR(IF(Q33="Probabilidad",(I33-(+I33*T33)),IF(Q33="Impacto",I33,"")),"")</f>
        <v>0.42</v>
      </c>
      <c r="Y33" s="126" t="str">
        <f>IFERROR(IF(X33="","",IF(X33&lt;=0.2,"Muy Baja",IF(X33&lt;=0.4,"Baja",IF(X33&lt;=0.6,"Media",IF(X33&lt;=0.8,"Alta","Muy Alta"))))),"")</f>
        <v>Media</v>
      </c>
      <c r="Z33" s="127">
        <f t="shared" si="2"/>
        <v>0.42</v>
      </c>
      <c r="AA33" s="126" t="str">
        <f>IFERROR(IF(AB33="","",IF(AB33&lt;=0.2,"Leve",IF(AB33&lt;=0.4,"Menor",IF(AB33&lt;=0.6,"Moderado",IF(AB33&lt;=0.8,"Mayor","Catastrófico"))))),"")</f>
        <v>Mayor</v>
      </c>
      <c r="AB33" s="127">
        <f>IFERROR(IF(Q33="Impacto",(M33-(+M33*T33)),IF(Q33="Probabilidad",M33,"")),"")</f>
        <v>0.8</v>
      </c>
      <c r="AC33" s="128" t="str">
        <f t="shared" si="3"/>
        <v>Alto</v>
      </c>
      <c r="AD33" s="129" t="s">
        <v>136</v>
      </c>
      <c r="AE33" s="130" t="s">
        <v>257</v>
      </c>
      <c r="AF33" s="130" t="s">
        <v>259</v>
      </c>
      <c r="AG33" s="132" t="s">
        <v>220</v>
      </c>
      <c r="AH33" s="132" t="s">
        <v>220</v>
      </c>
      <c r="AI33" s="130" t="s">
        <v>220</v>
      </c>
      <c r="AJ33" s="131" t="s">
        <v>41</v>
      </c>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75" customHeight="1" x14ac:dyDescent="0.3">
      <c r="A34" s="230"/>
      <c r="B34" s="250"/>
      <c r="C34" s="250"/>
      <c r="D34" s="250"/>
      <c r="E34" s="209"/>
      <c r="F34" s="250"/>
      <c r="G34" s="212"/>
      <c r="H34" s="200"/>
      <c r="I34" s="194"/>
      <c r="J34" s="191"/>
      <c r="K34" s="194">
        <f>IF(NOT(ISERROR(MATCH(J34,_xlfn.ANCHORARRAY(E39),0))),I41&amp;"Por favor no seleccionar los criterios de impacto",J34)</f>
        <v>0</v>
      </c>
      <c r="L34" s="200"/>
      <c r="M34" s="194"/>
      <c r="N34" s="203"/>
      <c r="O34" s="120">
        <v>2</v>
      </c>
      <c r="P34" s="147" t="s">
        <v>246</v>
      </c>
      <c r="Q34" s="122" t="str">
        <f t="shared" si="0"/>
        <v>Probabilidad</v>
      </c>
      <c r="R34" s="123" t="s">
        <v>14</v>
      </c>
      <c r="S34" s="123" t="s">
        <v>9</v>
      </c>
      <c r="T34" s="124" t="str">
        <f t="shared" si="1"/>
        <v>40%</v>
      </c>
      <c r="U34" s="123" t="s">
        <v>19</v>
      </c>
      <c r="V34" s="123" t="s">
        <v>22</v>
      </c>
      <c r="W34" s="123" t="s">
        <v>119</v>
      </c>
      <c r="X34" s="125">
        <f>IFERROR(IF(AND(Q33="Probabilidad",Q34="Probabilidad"),(Z33-(+Z33*T34)),IF(Q34="Probabilidad",(I33-(+I33*T34)),IF(Q34="Impacto",Z33,""))),"")</f>
        <v>0.252</v>
      </c>
      <c r="Y34" s="126" t="str">
        <f t="shared" si="4"/>
        <v>Baja</v>
      </c>
      <c r="Z34" s="127">
        <f t="shared" si="2"/>
        <v>0.252</v>
      </c>
      <c r="AA34" s="126" t="str">
        <f t="shared" si="5"/>
        <v>Mayor</v>
      </c>
      <c r="AB34" s="127">
        <f>IFERROR(IF(AND(Q33="Impacto",Q34="Impacto"),(AB33-(+AB33*T34)),IF(Q34="Impacto",(M33-(+M33*T34)),IF(Q34="Probabilidad",AB33,""))),"")</f>
        <v>0.8</v>
      </c>
      <c r="AC34" s="128" t="str">
        <f t="shared" si="3"/>
        <v>Alto</v>
      </c>
      <c r="AD34" s="129" t="s">
        <v>136</v>
      </c>
      <c r="AE34" s="130" t="s">
        <v>267</v>
      </c>
      <c r="AF34" s="131"/>
      <c r="AG34" s="132"/>
      <c r="AH34" s="132"/>
      <c r="AI34" s="130"/>
      <c r="AJ34" s="131"/>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75" hidden="1" customHeight="1" x14ac:dyDescent="0.3">
      <c r="A35" s="230"/>
      <c r="B35" s="250"/>
      <c r="C35" s="250"/>
      <c r="D35" s="250"/>
      <c r="E35" s="209"/>
      <c r="F35" s="250"/>
      <c r="G35" s="212"/>
      <c r="H35" s="200"/>
      <c r="I35" s="194"/>
      <c r="J35" s="191"/>
      <c r="K35" s="194">
        <f>IF(NOT(ISERROR(MATCH(J35,_xlfn.ANCHORARRAY(E40),0))),I42&amp;"Por favor no seleccionar los criterios de impacto",J35)</f>
        <v>0</v>
      </c>
      <c r="L35" s="200"/>
      <c r="M35" s="194"/>
      <c r="N35" s="203"/>
      <c r="O35" s="120">
        <v>3</v>
      </c>
      <c r="P35" s="133"/>
      <c r="Q35" s="122" t="str">
        <f t="shared" si="0"/>
        <v/>
      </c>
      <c r="R35" s="123"/>
      <c r="S35" s="123"/>
      <c r="T35" s="124" t="str">
        <f t="shared" si="1"/>
        <v/>
      </c>
      <c r="U35" s="123"/>
      <c r="V35" s="123"/>
      <c r="W35" s="123"/>
      <c r="X35" s="125" t="str">
        <f>IFERROR(IF(AND(Q34="Probabilidad",Q35="Probabilidad"),(Z34-(+Z34*T35)),IF(AND(Q34="Impacto",Q35="Probabilidad"),(Z33-(+Z33*T35)),IF(Q35="Impacto",Z34,""))),"")</f>
        <v/>
      </c>
      <c r="Y35" s="126" t="str">
        <f t="shared" si="4"/>
        <v/>
      </c>
      <c r="Z35" s="127" t="str">
        <f t="shared" si="2"/>
        <v/>
      </c>
      <c r="AA35" s="126" t="str">
        <f t="shared" si="5"/>
        <v/>
      </c>
      <c r="AB35" s="127" t="str">
        <f>IFERROR(IF(AND(Q34="Impacto",Q35="Impacto"),(AB34-(+AB34*T35)),IF(AND(Q34="Probabilidad",Q35="Impacto"),(AB33-(+AB33*T35)),IF(Q35="Probabilidad",AB34,""))),"")</f>
        <v/>
      </c>
      <c r="AC35" s="128" t="str">
        <f t="shared" si="3"/>
        <v/>
      </c>
      <c r="AD35" s="129"/>
      <c r="AE35" s="130"/>
      <c r="AF35" s="131"/>
      <c r="AG35" s="132"/>
      <c r="AH35" s="132"/>
      <c r="AI35" s="130"/>
      <c r="AJ35" s="131"/>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75" hidden="1" customHeight="1" x14ac:dyDescent="0.3">
      <c r="A36" s="230"/>
      <c r="B36" s="250"/>
      <c r="C36" s="250"/>
      <c r="D36" s="250"/>
      <c r="E36" s="209"/>
      <c r="F36" s="250"/>
      <c r="G36" s="212"/>
      <c r="H36" s="200"/>
      <c r="I36" s="194"/>
      <c r="J36" s="191"/>
      <c r="K36" s="194">
        <f>IF(NOT(ISERROR(MATCH(J36,_xlfn.ANCHORARRAY(E41),0))),I43&amp;"Por favor no seleccionar los criterios de impacto",J36)</f>
        <v>0</v>
      </c>
      <c r="L36" s="200"/>
      <c r="M36" s="194"/>
      <c r="N36" s="203"/>
      <c r="O36" s="120">
        <v>4</v>
      </c>
      <c r="P36" s="121"/>
      <c r="Q36" s="122" t="str">
        <f t="shared" si="0"/>
        <v/>
      </c>
      <c r="R36" s="123"/>
      <c r="S36" s="123"/>
      <c r="T36" s="124" t="str">
        <f t="shared" si="1"/>
        <v/>
      </c>
      <c r="U36" s="123"/>
      <c r="V36" s="123"/>
      <c r="W36" s="123"/>
      <c r="X36" s="125" t="str">
        <f>IFERROR(IF(AND(Q35="Probabilidad",Q36="Probabilidad"),(Z35-(+Z35*T36)),IF(AND(Q35="Impacto",Q36="Probabilidad"),(Z34-(+Z34*T36)),IF(Q36="Impacto",Z35,""))),"")</f>
        <v/>
      </c>
      <c r="Y36" s="126" t="str">
        <f t="shared" si="4"/>
        <v/>
      </c>
      <c r="Z36" s="127" t="str">
        <f t="shared" si="2"/>
        <v/>
      </c>
      <c r="AA36" s="126" t="str">
        <f t="shared" si="5"/>
        <v/>
      </c>
      <c r="AB36" s="127" t="str">
        <f>IFERROR(IF(AND(Q35="Impacto",Q36="Impacto"),(AB35-(+AB35*T36)),IF(AND(Q35="Probabilidad",Q36="Impacto"),(AB34-(+AB34*T36)),IF(Q36="Probabilidad",AB35,""))),"")</f>
        <v/>
      </c>
      <c r="AC36" s="128" t="str">
        <f t="shared" si="3"/>
        <v/>
      </c>
      <c r="AD36" s="129"/>
      <c r="AE36" s="130"/>
      <c r="AF36" s="131"/>
      <c r="AG36" s="132"/>
      <c r="AH36" s="132"/>
      <c r="AI36" s="130"/>
      <c r="AJ36" s="131"/>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75" hidden="1" customHeight="1" x14ac:dyDescent="0.3">
      <c r="A37" s="230"/>
      <c r="B37" s="250"/>
      <c r="C37" s="250"/>
      <c r="D37" s="250"/>
      <c r="E37" s="209"/>
      <c r="F37" s="250"/>
      <c r="G37" s="212"/>
      <c r="H37" s="200"/>
      <c r="I37" s="194"/>
      <c r="J37" s="191"/>
      <c r="K37" s="194">
        <f>IF(NOT(ISERROR(MATCH(J37,_xlfn.ANCHORARRAY(E42),0))),I44&amp;"Por favor no seleccionar los criterios de impacto",J37)</f>
        <v>0</v>
      </c>
      <c r="L37" s="200"/>
      <c r="M37" s="194"/>
      <c r="N37" s="203"/>
      <c r="O37" s="120">
        <v>5</v>
      </c>
      <c r="P37" s="121"/>
      <c r="Q37" s="122" t="str">
        <f t="shared" si="0"/>
        <v/>
      </c>
      <c r="R37" s="123"/>
      <c r="S37" s="123"/>
      <c r="T37" s="124" t="str">
        <f t="shared" si="1"/>
        <v/>
      </c>
      <c r="U37" s="123"/>
      <c r="V37" s="123"/>
      <c r="W37" s="123"/>
      <c r="X37" s="125" t="str">
        <f>IFERROR(IF(AND(Q36="Probabilidad",Q37="Probabilidad"),(Z36-(+Z36*T37)),IF(AND(Q36="Impacto",Q37="Probabilidad"),(Z35-(+Z35*T37)),IF(Q37="Impacto",Z36,""))),"")</f>
        <v/>
      </c>
      <c r="Y37" s="126" t="str">
        <f t="shared" si="4"/>
        <v/>
      </c>
      <c r="Z37" s="127" t="str">
        <f t="shared" si="2"/>
        <v/>
      </c>
      <c r="AA37" s="126" t="str">
        <f t="shared" si="5"/>
        <v/>
      </c>
      <c r="AB37" s="127" t="str">
        <f>IFERROR(IF(AND(Q36="Impacto",Q37="Impacto"),(AB36-(+AB36*T37)),IF(AND(Q36="Probabilidad",Q37="Impacto"),(AB35-(+AB35*T37)),IF(Q37="Probabilidad",AB36,""))),"")</f>
        <v/>
      </c>
      <c r="AC37" s="128" t="str">
        <f t="shared" si="3"/>
        <v/>
      </c>
      <c r="AD37" s="129"/>
      <c r="AE37" s="130"/>
      <c r="AF37" s="131"/>
      <c r="AG37" s="132"/>
      <c r="AH37" s="132"/>
      <c r="AI37" s="130"/>
      <c r="AJ37" s="131"/>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75" hidden="1" customHeight="1" x14ac:dyDescent="0.3">
      <c r="A38" s="231"/>
      <c r="B38" s="251"/>
      <c r="C38" s="251"/>
      <c r="D38" s="251"/>
      <c r="E38" s="210"/>
      <c r="F38" s="251"/>
      <c r="G38" s="213"/>
      <c r="H38" s="201"/>
      <c r="I38" s="195"/>
      <c r="J38" s="192"/>
      <c r="K38" s="195">
        <f>IF(NOT(ISERROR(MATCH(J38,_xlfn.ANCHORARRAY(E43),0))),I45&amp;"Por favor no seleccionar los criterios de impacto",J38)</f>
        <v>0</v>
      </c>
      <c r="L38" s="201"/>
      <c r="M38" s="195"/>
      <c r="N38" s="204"/>
      <c r="O38" s="120">
        <v>6</v>
      </c>
      <c r="P38" s="121"/>
      <c r="Q38" s="122" t="str">
        <f t="shared" si="0"/>
        <v/>
      </c>
      <c r="R38" s="123"/>
      <c r="S38" s="123"/>
      <c r="T38" s="124" t="str">
        <f t="shared" si="1"/>
        <v/>
      </c>
      <c r="U38" s="123"/>
      <c r="V38" s="123"/>
      <c r="W38" s="123"/>
      <c r="X38" s="125" t="str">
        <f>IFERROR(IF(AND(Q37="Probabilidad",Q38="Probabilidad"),(Z37-(+Z37*T38)),IF(AND(Q37="Impacto",Q38="Probabilidad"),(Z36-(+Z36*T38)),IF(Q38="Impacto",Z37,""))),"")</f>
        <v/>
      </c>
      <c r="Y38" s="126" t="str">
        <f t="shared" si="4"/>
        <v/>
      </c>
      <c r="Z38" s="127" t="str">
        <f t="shared" si="2"/>
        <v/>
      </c>
      <c r="AA38" s="126" t="str">
        <f t="shared" si="5"/>
        <v/>
      </c>
      <c r="AB38" s="127" t="str">
        <f>IFERROR(IF(AND(Q37="Impacto",Q38="Impacto"),(AB37-(+AB37*T38)),IF(AND(Q37="Probabilidad",Q38="Impacto"),(AB36-(+AB36*T38)),IF(Q38="Probabilidad",AB37,""))),"")</f>
        <v/>
      </c>
      <c r="AC38" s="128" t="str">
        <f t="shared" si="3"/>
        <v/>
      </c>
      <c r="AD38" s="129"/>
      <c r="AE38" s="130"/>
      <c r="AF38" s="131"/>
      <c r="AG38" s="132"/>
      <c r="AH38" s="132"/>
      <c r="AI38" s="130"/>
      <c r="AJ38" s="131"/>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hidden="1" customHeight="1" x14ac:dyDescent="0.3">
      <c r="A39" s="229">
        <v>7</v>
      </c>
      <c r="B39" s="249"/>
      <c r="C39" s="249"/>
      <c r="D39" s="249"/>
      <c r="E39" s="208"/>
      <c r="F39" s="249"/>
      <c r="G39" s="211"/>
      <c r="H39" s="199" t="str">
        <f>IF(G39&lt;=0,"",IF(G39&lt;=2,"Muy Baja",IF(G39&lt;=24,"Baja",IF(G39&lt;=500,"Media",IF(G39&lt;=5000,"Alta","Muy Alta")))))</f>
        <v/>
      </c>
      <c r="I39" s="193" t="str">
        <f>IF(H39="","",IF(H39="Muy Baja",0.2,IF(H39="Baja",0.4,IF(H39="Media",0.6,IF(H39="Alta",0.8,IF(H39="Muy Alta",1,))))))</f>
        <v/>
      </c>
      <c r="J39" s="190"/>
      <c r="K39" s="193">
        <f>IF(NOT(ISERROR(MATCH(J39,'Tabla Impacto'!$B$221:$B$223,0))),'Tabla Impacto'!$F$223&amp;"Por favor no seleccionar los criterios de impacto(Afectación Económica o presupuestal y Pérdida Reputacional)",J39)</f>
        <v>0</v>
      </c>
      <c r="L39" s="199" t="str">
        <f>IF(OR(K39='Tabla Impacto'!$C$11,K39='Tabla Impacto'!$D$11),"Leve",IF(OR(K39='Tabla Impacto'!$C$12,K39='Tabla Impacto'!$D$12),"Menor",IF(OR(K39='Tabla Impacto'!$C$13,K39='Tabla Impacto'!$D$13),"Moderado",IF(OR(K39='Tabla Impacto'!$C$14,K39='Tabla Impacto'!$D$14),"Mayor",IF(OR(K39='Tabla Impacto'!$C$15,K39='Tabla Impacto'!$D$15),"Catastrófico","")))))</f>
        <v/>
      </c>
      <c r="M39" s="193" t="str">
        <f>IF(L39="","",IF(L39="Leve",0.2,IF(L39="Menor",0.4,IF(L39="Moderado",0.6,IF(L39="Mayor",0.8,IF(L39="Catastrófico",1,))))))</f>
        <v/>
      </c>
      <c r="N39" s="202"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0">
        <v>1</v>
      </c>
      <c r="P39" s="121"/>
      <c r="Q39" s="122" t="str">
        <f t="shared" ref="Q39:Q62" si="30">IF(OR(R39="Preventivo",R39="Detectivo"),"Probabilidad",IF(R39="Correctivo","Impacto",""))</f>
        <v/>
      </c>
      <c r="R39" s="123"/>
      <c r="S39" s="123"/>
      <c r="T39" s="124" t="str">
        <f t="shared" ref="T39:T62" si="31">IF(AND(R39="Preventivo",S39="Automático"),"50%",IF(AND(R39="Preventivo",S39="Manual"),"40%",IF(AND(R39="Detectivo",S39="Automático"),"40%",IF(AND(R39="Detectivo",S39="Manual"),"30%",IF(AND(R39="Correctivo",S39="Automático"),"35%",IF(AND(R39="Correctivo",S39="Manual"),"25%",""))))))</f>
        <v/>
      </c>
      <c r="U39" s="123"/>
      <c r="V39" s="123"/>
      <c r="W39" s="123"/>
      <c r="X39" s="125" t="str">
        <f>IFERROR(IF(Q39="Probabilidad",(I39-(+I39*T39)),IF(Q39="Impacto",I39,"")),"")</f>
        <v/>
      </c>
      <c r="Y39" s="126" t="str">
        <f>IFERROR(IF(X39="","",IF(X39&lt;=0.2,"Muy Baja",IF(X39&lt;=0.4,"Baja",IF(X39&lt;=0.6,"Media",IF(X39&lt;=0.8,"Alta","Muy Alta"))))),"")</f>
        <v/>
      </c>
      <c r="Z39" s="127" t="str">
        <f t="shared" ref="Z39:Z62" si="32">+X39</f>
        <v/>
      </c>
      <c r="AA39" s="126" t="str">
        <f>IFERROR(IF(AB39="","",IF(AB39&lt;=0.2,"Leve",IF(AB39&lt;=0.4,"Menor",IF(AB39&lt;=0.6,"Moderado",IF(AB39&lt;=0.8,"Mayor","Catastrófico"))))),"")</f>
        <v/>
      </c>
      <c r="AB39" s="127" t="str">
        <f>IFERROR(IF(Q39="Impacto",(M39-(+M39*T39)),IF(Q39="Probabilidad",M39,"")),"")</f>
        <v/>
      </c>
      <c r="AC39" s="128" t="str">
        <f t="shared" ref="AC39:AC62" si="33">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9"/>
      <c r="AE39" s="130"/>
      <c r="AF39" s="131"/>
      <c r="AG39" s="132"/>
      <c r="AH39" s="132"/>
      <c r="AI39" s="130"/>
      <c r="AJ39" s="131"/>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hidden="1" customHeight="1" x14ac:dyDescent="0.3">
      <c r="A40" s="230"/>
      <c r="B40" s="250"/>
      <c r="C40" s="250"/>
      <c r="D40" s="250"/>
      <c r="E40" s="209"/>
      <c r="F40" s="250"/>
      <c r="G40" s="212"/>
      <c r="H40" s="200"/>
      <c r="I40" s="194"/>
      <c r="J40" s="191"/>
      <c r="K40" s="194">
        <f>IF(NOT(ISERROR(MATCH(J40,_xlfn.ANCHORARRAY(E51),0))),I53&amp;"Por favor no seleccionar los criterios de impacto",J40)</f>
        <v>0</v>
      </c>
      <c r="L40" s="200"/>
      <c r="M40" s="194"/>
      <c r="N40" s="203"/>
      <c r="O40" s="120">
        <v>2</v>
      </c>
      <c r="P40" s="121"/>
      <c r="Q40" s="122" t="str">
        <f t="shared" si="30"/>
        <v/>
      </c>
      <c r="R40" s="123"/>
      <c r="S40" s="123"/>
      <c r="T40" s="124" t="str">
        <f t="shared" si="31"/>
        <v/>
      </c>
      <c r="U40" s="123"/>
      <c r="V40" s="123"/>
      <c r="W40" s="123"/>
      <c r="X40" s="125" t="str">
        <f>IFERROR(IF(AND(Q39="Probabilidad",Q40="Probabilidad"),(Z39-(+Z39*T40)),IF(Q40="Probabilidad",(I39-(+I39*T40)),IF(Q40="Impacto",Z39,""))),"")</f>
        <v/>
      </c>
      <c r="Y40" s="126" t="str">
        <f t="shared" si="4"/>
        <v/>
      </c>
      <c r="Z40" s="127" t="str">
        <f t="shared" si="32"/>
        <v/>
      </c>
      <c r="AA40" s="126" t="str">
        <f t="shared" si="5"/>
        <v/>
      </c>
      <c r="AB40" s="127" t="str">
        <f>IFERROR(IF(AND(Q39="Impacto",Q40="Impacto"),(AB39-(+AB39*T40)),IF(Q40="Impacto",(M39-(+M39*T40)),IF(Q40="Probabilidad",AB39,""))),"")</f>
        <v/>
      </c>
      <c r="AC40" s="128" t="str">
        <f t="shared" si="33"/>
        <v/>
      </c>
      <c r="AD40" s="129"/>
      <c r="AE40" s="130"/>
      <c r="AF40" s="131"/>
      <c r="AG40" s="132"/>
      <c r="AH40" s="132"/>
      <c r="AI40" s="130"/>
      <c r="AJ40" s="131"/>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hidden="1" customHeight="1" x14ac:dyDescent="0.3">
      <c r="A41" s="230"/>
      <c r="B41" s="250"/>
      <c r="C41" s="250"/>
      <c r="D41" s="250"/>
      <c r="E41" s="209"/>
      <c r="F41" s="250"/>
      <c r="G41" s="212"/>
      <c r="H41" s="200"/>
      <c r="I41" s="194"/>
      <c r="J41" s="191"/>
      <c r="K41" s="194">
        <f>IF(NOT(ISERROR(MATCH(J41,_xlfn.ANCHORARRAY(E52),0))),I54&amp;"Por favor no seleccionar los criterios de impacto",J41)</f>
        <v>0</v>
      </c>
      <c r="L41" s="200"/>
      <c r="M41" s="194"/>
      <c r="N41" s="203"/>
      <c r="O41" s="120">
        <v>3</v>
      </c>
      <c r="P41" s="133"/>
      <c r="Q41" s="122" t="str">
        <f t="shared" si="30"/>
        <v/>
      </c>
      <c r="R41" s="123"/>
      <c r="S41" s="123"/>
      <c r="T41" s="124" t="str">
        <f t="shared" si="31"/>
        <v/>
      </c>
      <c r="U41" s="123"/>
      <c r="V41" s="123"/>
      <c r="W41" s="123"/>
      <c r="X41" s="125" t="str">
        <f>IFERROR(IF(AND(Q40="Probabilidad",Q41="Probabilidad"),(Z40-(+Z40*T41)),IF(AND(Q40="Impacto",Q41="Probabilidad"),(Z39-(+Z39*T41)),IF(Q41="Impacto",Z40,""))),"")</f>
        <v/>
      </c>
      <c r="Y41" s="126" t="str">
        <f t="shared" si="4"/>
        <v/>
      </c>
      <c r="Z41" s="127" t="str">
        <f t="shared" si="32"/>
        <v/>
      </c>
      <c r="AA41" s="126" t="str">
        <f t="shared" si="5"/>
        <v/>
      </c>
      <c r="AB41" s="127" t="str">
        <f>IFERROR(IF(AND(Q40="Impacto",Q41="Impacto"),(AB40-(+AB40*T41)),IF(AND(Q40="Probabilidad",Q41="Impacto"),(AB39-(+AB39*T41)),IF(Q41="Probabilidad",AB40,""))),"")</f>
        <v/>
      </c>
      <c r="AC41" s="128" t="str">
        <f t="shared" si="33"/>
        <v/>
      </c>
      <c r="AD41" s="129"/>
      <c r="AE41" s="130"/>
      <c r="AF41" s="131"/>
      <c r="AG41" s="132"/>
      <c r="AH41" s="132"/>
      <c r="AI41" s="130"/>
      <c r="AJ41" s="131"/>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hidden="1" customHeight="1" x14ac:dyDescent="0.3">
      <c r="A42" s="230"/>
      <c r="B42" s="250"/>
      <c r="C42" s="250"/>
      <c r="D42" s="250"/>
      <c r="E42" s="209"/>
      <c r="F42" s="250"/>
      <c r="G42" s="212"/>
      <c r="H42" s="200"/>
      <c r="I42" s="194"/>
      <c r="J42" s="191"/>
      <c r="K42" s="194">
        <f>IF(NOT(ISERROR(MATCH(J42,_xlfn.ANCHORARRAY(E53),0))),I55&amp;"Por favor no seleccionar los criterios de impacto",J42)</f>
        <v>0</v>
      </c>
      <c r="L42" s="200"/>
      <c r="M42" s="194"/>
      <c r="N42" s="203"/>
      <c r="O42" s="120">
        <v>4</v>
      </c>
      <c r="P42" s="121"/>
      <c r="Q42" s="122" t="str">
        <f t="shared" si="30"/>
        <v/>
      </c>
      <c r="R42" s="123"/>
      <c r="S42" s="123"/>
      <c r="T42" s="124" t="str">
        <f t="shared" si="31"/>
        <v/>
      </c>
      <c r="U42" s="123"/>
      <c r="V42" s="123"/>
      <c r="W42" s="123"/>
      <c r="X42" s="125" t="str">
        <f>IFERROR(IF(AND(Q41="Probabilidad",Q42="Probabilidad"),(Z41-(+Z41*T42)),IF(AND(Q41="Impacto",Q42="Probabilidad"),(Z40-(+Z40*T42)),IF(Q42="Impacto",Z41,""))),"")</f>
        <v/>
      </c>
      <c r="Y42" s="126" t="str">
        <f t="shared" si="4"/>
        <v/>
      </c>
      <c r="Z42" s="127" t="str">
        <f t="shared" si="32"/>
        <v/>
      </c>
      <c r="AA42" s="126" t="str">
        <f t="shared" si="5"/>
        <v/>
      </c>
      <c r="AB42" s="127" t="str">
        <f>IFERROR(IF(AND(Q41="Impacto",Q42="Impacto"),(AB41-(+AB41*T42)),IF(AND(Q41="Probabilidad",Q42="Impacto"),(AB40-(+AB40*T42)),IF(Q42="Probabilidad",AB41,""))),"")</f>
        <v/>
      </c>
      <c r="AC42" s="128" t="str">
        <f t="shared" si="33"/>
        <v/>
      </c>
      <c r="AD42" s="129"/>
      <c r="AE42" s="130"/>
      <c r="AF42" s="131"/>
      <c r="AG42" s="132"/>
      <c r="AH42" s="132"/>
      <c r="AI42" s="130"/>
      <c r="AJ42" s="131"/>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hidden="1" customHeight="1" x14ac:dyDescent="0.3">
      <c r="A43" s="230"/>
      <c r="B43" s="250"/>
      <c r="C43" s="250"/>
      <c r="D43" s="250"/>
      <c r="E43" s="209"/>
      <c r="F43" s="250"/>
      <c r="G43" s="212"/>
      <c r="H43" s="200"/>
      <c r="I43" s="194"/>
      <c r="J43" s="191"/>
      <c r="K43" s="194">
        <f>IF(NOT(ISERROR(MATCH(J43,_xlfn.ANCHORARRAY(E54),0))),I56&amp;"Por favor no seleccionar los criterios de impacto",J43)</f>
        <v>0</v>
      </c>
      <c r="L43" s="200"/>
      <c r="M43" s="194"/>
      <c r="N43" s="203"/>
      <c r="O43" s="120">
        <v>5</v>
      </c>
      <c r="P43" s="121"/>
      <c r="Q43" s="122" t="str">
        <f t="shared" si="30"/>
        <v/>
      </c>
      <c r="R43" s="123"/>
      <c r="S43" s="123"/>
      <c r="T43" s="124" t="str">
        <f t="shared" si="31"/>
        <v/>
      </c>
      <c r="U43" s="123"/>
      <c r="V43" s="123"/>
      <c r="W43" s="123"/>
      <c r="X43" s="125" t="str">
        <f>IFERROR(IF(AND(Q42="Probabilidad",Q43="Probabilidad"),(Z42-(+Z42*T43)),IF(AND(Q42="Impacto",Q43="Probabilidad"),(Z41-(+Z41*T43)),IF(Q43="Impacto",Z42,""))),"")</f>
        <v/>
      </c>
      <c r="Y43" s="126" t="str">
        <f t="shared" si="4"/>
        <v/>
      </c>
      <c r="Z43" s="127" t="str">
        <f t="shared" si="32"/>
        <v/>
      </c>
      <c r="AA43" s="126" t="str">
        <f t="shared" si="5"/>
        <v/>
      </c>
      <c r="AB43" s="127" t="str">
        <f>IFERROR(IF(AND(Q42="Impacto",Q43="Impacto"),(AB42-(+AB42*T43)),IF(AND(Q42="Probabilidad",Q43="Impacto"),(AB41-(+AB41*T43)),IF(Q43="Probabilidad",AB42,""))),"")</f>
        <v/>
      </c>
      <c r="AC43" s="128" t="str">
        <f t="shared" si="33"/>
        <v/>
      </c>
      <c r="AD43" s="129"/>
      <c r="AE43" s="130"/>
      <c r="AF43" s="131"/>
      <c r="AG43" s="132"/>
      <c r="AH43" s="132"/>
      <c r="AI43" s="130"/>
      <c r="AJ43" s="131"/>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hidden="1" customHeight="1" x14ac:dyDescent="0.3">
      <c r="A44" s="231"/>
      <c r="B44" s="251"/>
      <c r="C44" s="251"/>
      <c r="D44" s="251"/>
      <c r="E44" s="210"/>
      <c r="F44" s="251"/>
      <c r="G44" s="213"/>
      <c r="H44" s="201"/>
      <c r="I44" s="195"/>
      <c r="J44" s="192"/>
      <c r="K44" s="195">
        <f>IF(NOT(ISERROR(MATCH(J44,_xlfn.ANCHORARRAY(E55),0))),I57&amp;"Por favor no seleccionar los criterios de impacto",J44)</f>
        <v>0</v>
      </c>
      <c r="L44" s="201"/>
      <c r="M44" s="195"/>
      <c r="N44" s="204"/>
      <c r="O44" s="120">
        <v>6</v>
      </c>
      <c r="P44" s="121"/>
      <c r="Q44" s="122" t="str">
        <f t="shared" si="30"/>
        <v/>
      </c>
      <c r="R44" s="123"/>
      <c r="S44" s="123"/>
      <c r="T44" s="124" t="str">
        <f t="shared" si="31"/>
        <v/>
      </c>
      <c r="U44" s="123"/>
      <c r="V44" s="123"/>
      <c r="W44" s="123"/>
      <c r="X44" s="125" t="str">
        <f>IFERROR(IF(AND(Q43="Probabilidad",Q44="Probabilidad"),(Z43-(+Z43*T44)),IF(AND(Q43="Impacto",Q44="Probabilidad"),(Z42-(+Z42*T44)),IF(Q44="Impacto",Z43,""))),"")</f>
        <v/>
      </c>
      <c r="Y44" s="126" t="str">
        <f t="shared" si="4"/>
        <v/>
      </c>
      <c r="Z44" s="127" t="str">
        <f t="shared" si="32"/>
        <v/>
      </c>
      <c r="AA44" s="126" t="str">
        <f t="shared" si="5"/>
        <v/>
      </c>
      <c r="AB44" s="127" t="str">
        <f>IFERROR(IF(AND(Q43="Impacto",Q44="Impacto"),(AB43-(+AB43*T44)),IF(AND(Q43="Probabilidad",Q44="Impacto"),(AB42-(+AB42*T44)),IF(Q44="Probabilidad",AB43,""))),"")</f>
        <v/>
      </c>
      <c r="AC44" s="128" t="str">
        <f t="shared" si="33"/>
        <v/>
      </c>
      <c r="AD44" s="129"/>
      <c r="AE44" s="130"/>
      <c r="AF44" s="131"/>
      <c r="AG44" s="132"/>
      <c r="AH44" s="132"/>
      <c r="AI44" s="130"/>
      <c r="AJ44" s="131"/>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hidden="1" customHeight="1" x14ac:dyDescent="0.3">
      <c r="A45" s="229">
        <v>8</v>
      </c>
      <c r="B45" s="249"/>
      <c r="C45" s="249"/>
      <c r="D45" s="249"/>
      <c r="E45" s="208"/>
      <c r="F45" s="249"/>
      <c r="G45" s="211"/>
      <c r="H45" s="199" t="str">
        <f>IF(G45&lt;=0,"",IF(G45&lt;=2,"Muy Baja",IF(G45&lt;=24,"Baja",IF(G45&lt;=500,"Media",IF(G45&lt;=5000,"Alta","Muy Alta")))))</f>
        <v/>
      </c>
      <c r="I45" s="193" t="str">
        <f>IF(H45="","",IF(H45="Muy Baja",0.2,IF(H45="Baja",0.4,IF(H45="Media",0.6,IF(H45="Alta",0.8,IF(H45="Muy Alta",1,))))))</f>
        <v/>
      </c>
      <c r="J45" s="190"/>
      <c r="K45" s="193">
        <f>IF(NOT(ISERROR(MATCH(J45,'Tabla Impacto'!$B$221:$B$223,0))),'Tabla Impacto'!$F$223&amp;"Por favor no seleccionar los criterios de impacto(Afectación Económica o presupuestal y Pérdida Reputacional)",J45)</f>
        <v>0</v>
      </c>
      <c r="L45" s="199" t="str">
        <f>IF(OR(K45='Tabla Impacto'!$C$11,K45='Tabla Impacto'!$D$11),"Leve",IF(OR(K45='Tabla Impacto'!$C$12,K45='Tabla Impacto'!$D$12),"Menor",IF(OR(K45='Tabla Impacto'!$C$13,K45='Tabla Impacto'!$D$13),"Moderado",IF(OR(K45='Tabla Impacto'!$C$14,K45='Tabla Impacto'!$D$14),"Mayor",IF(OR(K45='Tabla Impacto'!$C$15,K45='Tabla Impacto'!$D$15),"Catastrófico","")))))</f>
        <v/>
      </c>
      <c r="M45" s="193" t="str">
        <f>IF(L45="","",IF(L45="Leve",0.2,IF(L45="Menor",0.4,IF(L45="Moderado",0.6,IF(L45="Mayor",0.8,IF(L45="Catastrófico",1,))))))</f>
        <v/>
      </c>
      <c r="N45" s="202"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0">
        <v>1</v>
      </c>
      <c r="P45" s="121"/>
      <c r="Q45" s="122" t="str">
        <f t="shared" si="30"/>
        <v/>
      </c>
      <c r="R45" s="123"/>
      <c r="S45" s="123"/>
      <c r="T45" s="124" t="str">
        <f t="shared" si="31"/>
        <v/>
      </c>
      <c r="U45" s="123"/>
      <c r="V45" s="123"/>
      <c r="W45" s="123"/>
      <c r="X45" s="125" t="str">
        <f>IFERROR(IF(Q45="Probabilidad",(I45-(+I45*T45)),IF(Q45="Impacto",I45,"")),"")</f>
        <v/>
      </c>
      <c r="Y45" s="126" t="str">
        <f>IFERROR(IF(X45="","",IF(X45&lt;=0.2,"Muy Baja",IF(X45&lt;=0.4,"Baja",IF(X45&lt;=0.6,"Media",IF(X45&lt;=0.8,"Alta","Muy Alta"))))),"")</f>
        <v/>
      </c>
      <c r="Z45" s="127" t="str">
        <f t="shared" si="32"/>
        <v/>
      </c>
      <c r="AA45" s="126" t="str">
        <f>IFERROR(IF(AB45="","",IF(AB45&lt;=0.2,"Leve",IF(AB45&lt;=0.4,"Menor",IF(AB45&lt;=0.6,"Moderado",IF(AB45&lt;=0.8,"Mayor","Catastrófico"))))),"")</f>
        <v/>
      </c>
      <c r="AB45" s="127" t="str">
        <f>IFERROR(IF(Q45="Impacto",(M45-(+M45*T45)),IF(Q45="Probabilidad",M45,"")),"")</f>
        <v/>
      </c>
      <c r="AC45" s="128" t="str">
        <f t="shared" si="33"/>
        <v/>
      </c>
      <c r="AD45" s="129"/>
      <c r="AE45" s="130"/>
      <c r="AF45" s="131"/>
      <c r="AG45" s="132"/>
      <c r="AH45" s="132"/>
      <c r="AI45" s="130"/>
      <c r="AJ45" s="131"/>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hidden="1" customHeight="1" x14ac:dyDescent="0.3">
      <c r="A46" s="230"/>
      <c r="B46" s="250"/>
      <c r="C46" s="250"/>
      <c r="D46" s="250"/>
      <c r="E46" s="209"/>
      <c r="F46" s="250"/>
      <c r="G46" s="212"/>
      <c r="H46" s="200"/>
      <c r="I46" s="194"/>
      <c r="J46" s="191"/>
      <c r="K46" s="194">
        <f>IF(NOT(ISERROR(MATCH(J46,_xlfn.ANCHORARRAY(E57),0))),I59&amp;"Por favor no seleccionar los criterios de impacto",J46)</f>
        <v>0</v>
      </c>
      <c r="L46" s="200"/>
      <c r="M46" s="194"/>
      <c r="N46" s="203"/>
      <c r="O46" s="120">
        <v>2</v>
      </c>
      <c r="P46" s="121"/>
      <c r="Q46" s="122" t="str">
        <f t="shared" si="30"/>
        <v/>
      </c>
      <c r="R46" s="123"/>
      <c r="S46" s="123"/>
      <c r="T46" s="124" t="str">
        <f t="shared" si="31"/>
        <v/>
      </c>
      <c r="U46" s="123"/>
      <c r="V46" s="123"/>
      <c r="W46" s="123"/>
      <c r="X46" s="125" t="str">
        <f>IFERROR(IF(AND(Q45="Probabilidad",Q46="Probabilidad"),(Z45-(+Z45*T46)),IF(Q46="Probabilidad",(I45-(+I45*T46)),IF(Q46="Impacto",Z45,""))),"")</f>
        <v/>
      </c>
      <c r="Y46" s="126" t="str">
        <f t="shared" si="4"/>
        <v/>
      </c>
      <c r="Z46" s="127" t="str">
        <f t="shared" si="32"/>
        <v/>
      </c>
      <c r="AA46" s="126" t="str">
        <f t="shared" si="5"/>
        <v/>
      </c>
      <c r="AB46" s="127" t="str">
        <f>IFERROR(IF(AND(Q45="Impacto",Q46="Impacto"),(AB45-(+AB45*T46)),IF(Q46="Impacto",(M45-(+M45*T46)),IF(Q46="Probabilidad",AB45,""))),"")</f>
        <v/>
      </c>
      <c r="AC46" s="128" t="str">
        <f t="shared" si="33"/>
        <v/>
      </c>
      <c r="AD46" s="129"/>
      <c r="AE46" s="130"/>
      <c r="AF46" s="131"/>
      <c r="AG46" s="132"/>
      <c r="AH46" s="132"/>
      <c r="AI46" s="130"/>
      <c r="AJ46" s="131"/>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hidden="1" customHeight="1" x14ac:dyDescent="0.3">
      <c r="A47" s="230"/>
      <c r="B47" s="250"/>
      <c r="C47" s="250"/>
      <c r="D47" s="250"/>
      <c r="E47" s="209"/>
      <c r="F47" s="250"/>
      <c r="G47" s="212"/>
      <c r="H47" s="200"/>
      <c r="I47" s="194"/>
      <c r="J47" s="191"/>
      <c r="K47" s="194">
        <f>IF(NOT(ISERROR(MATCH(J47,_xlfn.ANCHORARRAY(E58),0))),I60&amp;"Por favor no seleccionar los criterios de impacto",J47)</f>
        <v>0</v>
      </c>
      <c r="L47" s="200"/>
      <c r="M47" s="194"/>
      <c r="N47" s="203"/>
      <c r="O47" s="120">
        <v>3</v>
      </c>
      <c r="P47" s="133"/>
      <c r="Q47" s="122" t="str">
        <f t="shared" si="30"/>
        <v/>
      </c>
      <c r="R47" s="123"/>
      <c r="S47" s="123"/>
      <c r="T47" s="124" t="str">
        <f t="shared" si="31"/>
        <v/>
      </c>
      <c r="U47" s="123"/>
      <c r="V47" s="123"/>
      <c r="W47" s="123"/>
      <c r="X47" s="125" t="str">
        <f>IFERROR(IF(AND(Q46="Probabilidad",Q47="Probabilidad"),(Z46-(+Z46*T47)),IF(AND(Q46="Impacto",Q47="Probabilidad"),(Z45-(+Z45*T47)),IF(Q47="Impacto",Z46,""))),"")</f>
        <v/>
      </c>
      <c r="Y47" s="126" t="str">
        <f t="shared" si="4"/>
        <v/>
      </c>
      <c r="Z47" s="127" t="str">
        <f t="shared" si="32"/>
        <v/>
      </c>
      <c r="AA47" s="126" t="str">
        <f t="shared" si="5"/>
        <v/>
      </c>
      <c r="AB47" s="127" t="str">
        <f>IFERROR(IF(AND(Q46="Impacto",Q47="Impacto"),(AB46-(+AB46*T47)),IF(AND(Q46="Probabilidad",Q47="Impacto"),(AB45-(+AB45*T47)),IF(Q47="Probabilidad",AB46,""))),"")</f>
        <v/>
      </c>
      <c r="AC47" s="128" t="str">
        <f t="shared" si="33"/>
        <v/>
      </c>
      <c r="AD47" s="129"/>
      <c r="AE47" s="130"/>
      <c r="AF47" s="131"/>
      <c r="AG47" s="132"/>
      <c r="AH47" s="132"/>
      <c r="AI47" s="130"/>
      <c r="AJ47" s="131"/>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hidden="1" customHeight="1" x14ac:dyDescent="0.3">
      <c r="A48" s="230"/>
      <c r="B48" s="250"/>
      <c r="C48" s="250"/>
      <c r="D48" s="250"/>
      <c r="E48" s="209"/>
      <c r="F48" s="250"/>
      <c r="G48" s="212"/>
      <c r="H48" s="200"/>
      <c r="I48" s="194"/>
      <c r="J48" s="191"/>
      <c r="K48" s="194">
        <f>IF(NOT(ISERROR(MATCH(J48,_xlfn.ANCHORARRAY(E59),0))),I61&amp;"Por favor no seleccionar los criterios de impacto",J48)</f>
        <v>0</v>
      </c>
      <c r="L48" s="200"/>
      <c r="M48" s="194"/>
      <c r="N48" s="203"/>
      <c r="O48" s="120">
        <v>4</v>
      </c>
      <c r="P48" s="121"/>
      <c r="Q48" s="122" t="str">
        <f t="shared" si="30"/>
        <v/>
      </c>
      <c r="R48" s="123"/>
      <c r="S48" s="123"/>
      <c r="T48" s="124" t="str">
        <f t="shared" si="31"/>
        <v/>
      </c>
      <c r="U48" s="123"/>
      <c r="V48" s="123"/>
      <c r="W48" s="123"/>
      <c r="X48" s="125" t="str">
        <f>IFERROR(IF(AND(Q47="Probabilidad",Q48="Probabilidad"),(Z47-(+Z47*T48)),IF(AND(Q47="Impacto",Q48="Probabilidad"),(Z46-(+Z46*T48)),IF(Q48="Impacto",Z47,""))),"")</f>
        <v/>
      </c>
      <c r="Y48" s="126" t="str">
        <f t="shared" si="4"/>
        <v/>
      </c>
      <c r="Z48" s="127" t="str">
        <f t="shared" si="32"/>
        <v/>
      </c>
      <c r="AA48" s="126" t="str">
        <f t="shared" si="5"/>
        <v/>
      </c>
      <c r="AB48" s="127" t="str">
        <f>IFERROR(IF(AND(Q47="Impacto",Q48="Impacto"),(AB47-(+AB47*T48)),IF(AND(Q47="Probabilidad",Q48="Impacto"),(AB46-(+AB46*T48)),IF(Q48="Probabilidad",AB47,""))),"")</f>
        <v/>
      </c>
      <c r="AC48" s="128" t="str">
        <f t="shared" si="33"/>
        <v/>
      </c>
      <c r="AD48" s="129"/>
      <c r="AE48" s="130"/>
      <c r="AF48" s="131"/>
      <c r="AG48" s="132"/>
      <c r="AH48" s="132"/>
      <c r="AI48" s="130"/>
      <c r="AJ48" s="131"/>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hidden="1" customHeight="1" x14ac:dyDescent="0.3">
      <c r="A49" s="230"/>
      <c r="B49" s="250"/>
      <c r="C49" s="250"/>
      <c r="D49" s="250"/>
      <c r="E49" s="209"/>
      <c r="F49" s="250"/>
      <c r="G49" s="212"/>
      <c r="H49" s="200"/>
      <c r="I49" s="194"/>
      <c r="J49" s="191"/>
      <c r="K49" s="194">
        <f>IF(NOT(ISERROR(MATCH(J49,_xlfn.ANCHORARRAY(E60),0))),I62&amp;"Por favor no seleccionar los criterios de impacto",J49)</f>
        <v>0</v>
      </c>
      <c r="L49" s="200"/>
      <c r="M49" s="194"/>
      <c r="N49" s="203"/>
      <c r="O49" s="120">
        <v>5</v>
      </c>
      <c r="P49" s="121"/>
      <c r="Q49" s="122" t="str">
        <f t="shared" si="30"/>
        <v/>
      </c>
      <c r="R49" s="123"/>
      <c r="S49" s="123"/>
      <c r="T49" s="124" t="str">
        <f t="shared" si="31"/>
        <v/>
      </c>
      <c r="U49" s="123"/>
      <c r="V49" s="123"/>
      <c r="W49" s="123"/>
      <c r="X49" s="125" t="str">
        <f>IFERROR(IF(AND(Q48="Probabilidad",Q49="Probabilidad"),(Z48-(+Z48*T49)),IF(AND(Q48="Impacto",Q49="Probabilidad"),(Z47-(+Z47*T49)),IF(Q49="Impacto",Z48,""))),"")</f>
        <v/>
      </c>
      <c r="Y49" s="126" t="str">
        <f t="shared" si="4"/>
        <v/>
      </c>
      <c r="Z49" s="127" t="str">
        <f t="shared" si="32"/>
        <v/>
      </c>
      <c r="AA49" s="126" t="str">
        <f t="shared" si="5"/>
        <v/>
      </c>
      <c r="AB49" s="127" t="str">
        <f>IFERROR(IF(AND(Q48="Impacto",Q49="Impacto"),(AB48-(+AB48*T49)),IF(AND(Q48="Probabilidad",Q49="Impacto"),(AB47-(+AB47*T49)),IF(Q49="Probabilidad",AB48,""))),"")</f>
        <v/>
      </c>
      <c r="AC49" s="128" t="str">
        <f t="shared" si="33"/>
        <v/>
      </c>
      <c r="AD49" s="129"/>
      <c r="AE49" s="130"/>
      <c r="AF49" s="131"/>
      <c r="AG49" s="132"/>
      <c r="AH49" s="132"/>
      <c r="AI49" s="130"/>
      <c r="AJ49" s="131"/>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hidden="1" customHeight="1" x14ac:dyDescent="0.3">
      <c r="A50" s="231"/>
      <c r="B50" s="251"/>
      <c r="C50" s="251"/>
      <c r="D50" s="251"/>
      <c r="E50" s="210"/>
      <c r="F50" s="251"/>
      <c r="G50" s="213"/>
      <c r="H50" s="201"/>
      <c r="I50" s="195"/>
      <c r="J50" s="192"/>
      <c r="K50" s="195">
        <f>IF(NOT(ISERROR(MATCH(J50,_xlfn.ANCHORARRAY(E61),0))),I63&amp;"Por favor no seleccionar los criterios de impacto",J50)</f>
        <v>0</v>
      </c>
      <c r="L50" s="201"/>
      <c r="M50" s="195"/>
      <c r="N50" s="204"/>
      <c r="O50" s="120">
        <v>6</v>
      </c>
      <c r="P50" s="121"/>
      <c r="Q50" s="122" t="str">
        <f t="shared" si="30"/>
        <v/>
      </c>
      <c r="R50" s="123"/>
      <c r="S50" s="123"/>
      <c r="T50" s="124" t="str">
        <f t="shared" si="31"/>
        <v/>
      </c>
      <c r="U50" s="123"/>
      <c r="V50" s="123"/>
      <c r="W50" s="123"/>
      <c r="X50" s="125" t="str">
        <f>IFERROR(IF(AND(Q49="Probabilidad",Q50="Probabilidad"),(Z49-(+Z49*T50)),IF(AND(Q49="Impacto",Q50="Probabilidad"),(Z48-(+Z48*T50)),IF(Q50="Impacto",Z49,""))),"")</f>
        <v/>
      </c>
      <c r="Y50" s="126" t="str">
        <f t="shared" si="4"/>
        <v/>
      </c>
      <c r="Z50" s="127" t="str">
        <f t="shared" si="32"/>
        <v/>
      </c>
      <c r="AA50" s="126" t="str">
        <f t="shared" si="5"/>
        <v/>
      </c>
      <c r="AB50" s="127" t="str">
        <f>IFERROR(IF(AND(Q49="Impacto",Q50="Impacto"),(AB49-(+AB49*T50)),IF(AND(Q49="Probabilidad",Q50="Impacto"),(AB48-(+AB48*T50)),IF(Q50="Probabilidad",AB49,""))),"")</f>
        <v/>
      </c>
      <c r="AC50" s="128" t="str">
        <f t="shared" si="33"/>
        <v/>
      </c>
      <c r="AD50" s="129"/>
      <c r="AE50" s="130"/>
      <c r="AF50" s="131"/>
      <c r="AG50" s="132"/>
      <c r="AH50" s="132"/>
      <c r="AI50" s="130"/>
      <c r="AJ50" s="131"/>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hidden="1" customHeight="1" x14ac:dyDescent="0.3">
      <c r="A51" s="229">
        <v>9</v>
      </c>
      <c r="B51" s="249"/>
      <c r="C51" s="249"/>
      <c r="D51" s="249"/>
      <c r="E51" s="208"/>
      <c r="F51" s="249"/>
      <c r="G51" s="211"/>
      <c r="H51" s="199" t="str">
        <f>IF(G51&lt;=0,"",IF(G51&lt;=2,"Muy Baja",IF(G51&lt;=24,"Baja",IF(G51&lt;=500,"Media",IF(G51&lt;=5000,"Alta","Muy Alta")))))</f>
        <v/>
      </c>
      <c r="I51" s="193" t="str">
        <f>IF(H51="","",IF(H51="Muy Baja",0.2,IF(H51="Baja",0.4,IF(H51="Media",0.6,IF(H51="Alta",0.8,IF(H51="Muy Alta",1,))))))</f>
        <v/>
      </c>
      <c r="J51" s="190"/>
      <c r="K51" s="193">
        <f>IF(NOT(ISERROR(MATCH(J51,'Tabla Impacto'!$B$221:$B$223,0))),'Tabla Impacto'!$F$223&amp;"Por favor no seleccionar los criterios de impacto(Afectación Económica o presupuestal y Pérdida Reputacional)",J51)</f>
        <v>0</v>
      </c>
      <c r="L51" s="199" t="str">
        <f>IF(OR(K51='Tabla Impacto'!$C$11,K51='Tabla Impacto'!$D$11),"Leve",IF(OR(K51='Tabla Impacto'!$C$12,K51='Tabla Impacto'!$D$12),"Menor",IF(OR(K51='Tabla Impacto'!$C$13,K51='Tabla Impacto'!$D$13),"Moderado",IF(OR(K51='Tabla Impacto'!$C$14,K51='Tabla Impacto'!$D$14),"Mayor",IF(OR(K51='Tabla Impacto'!$C$15,K51='Tabla Impacto'!$D$15),"Catastrófico","")))))</f>
        <v/>
      </c>
      <c r="M51" s="193" t="str">
        <f>IF(L51="","",IF(L51="Leve",0.2,IF(L51="Menor",0.4,IF(L51="Moderado",0.6,IF(L51="Mayor",0.8,IF(L51="Catastrófico",1,))))))</f>
        <v/>
      </c>
      <c r="N51" s="202"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0">
        <v>1</v>
      </c>
      <c r="P51" s="121"/>
      <c r="Q51" s="122" t="str">
        <f t="shared" si="30"/>
        <v/>
      </c>
      <c r="R51" s="123"/>
      <c r="S51" s="123"/>
      <c r="T51" s="124" t="str">
        <f t="shared" si="31"/>
        <v/>
      </c>
      <c r="U51" s="123"/>
      <c r="V51" s="123"/>
      <c r="W51" s="123"/>
      <c r="X51" s="125" t="str">
        <f>IFERROR(IF(Q51="Probabilidad",(I51-(+I51*T51)),IF(Q51="Impacto",I51,"")),"")</f>
        <v/>
      </c>
      <c r="Y51" s="126" t="str">
        <f>IFERROR(IF(X51="","",IF(X51&lt;=0.2,"Muy Baja",IF(X51&lt;=0.4,"Baja",IF(X51&lt;=0.6,"Media",IF(X51&lt;=0.8,"Alta","Muy Alta"))))),"")</f>
        <v/>
      </c>
      <c r="Z51" s="127" t="str">
        <f t="shared" si="32"/>
        <v/>
      </c>
      <c r="AA51" s="126" t="str">
        <f>IFERROR(IF(AB51="","",IF(AB51&lt;=0.2,"Leve",IF(AB51&lt;=0.4,"Menor",IF(AB51&lt;=0.6,"Moderado",IF(AB51&lt;=0.8,"Mayor","Catastrófico"))))),"")</f>
        <v/>
      </c>
      <c r="AB51" s="127" t="str">
        <f>IFERROR(IF(Q51="Impacto",(M51-(+M51*T51)),IF(Q51="Probabilidad",M51,"")),"")</f>
        <v/>
      </c>
      <c r="AC51" s="128" t="str">
        <f t="shared" si="33"/>
        <v/>
      </c>
      <c r="AD51" s="129"/>
      <c r="AE51" s="130"/>
      <c r="AF51" s="131"/>
      <c r="AG51" s="132"/>
      <c r="AH51" s="132"/>
      <c r="AI51" s="130"/>
      <c r="AJ51" s="131"/>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hidden="1" customHeight="1" x14ac:dyDescent="0.3">
      <c r="A52" s="230"/>
      <c r="B52" s="250"/>
      <c r="C52" s="250"/>
      <c r="D52" s="250"/>
      <c r="E52" s="209"/>
      <c r="F52" s="250"/>
      <c r="G52" s="212"/>
      <c r="H52" s="200"/>
      <c r="I52" s="194"/>
      <c r="J52" s="191"/>
      <c r="K52" s="194">
        <f>IF(NOT(ISERROR(MATCH(J52,_xlfn.ANCHORARRAY(E63),0))),I65&amp;"Por favor no seleccionar los criterios de impacto",J52)</f>
        <v>0</v>
      </c>
      <c r="L52" s="200"/>
      <c r="M52" s="194"/>
      <c r="N52" s="203"/>
      <c r="O52" s="120">
        <v>2</v>
      </c>
      <c r="P52" s="121"/>
      <c r="Q52" s="122" t="str">
        <f t="shared" si="30"/>
        <v/>
      </c>
      <c r="R52" s="123"/>
      <c r="S52" s="123"/>
      <c r="T52" s="124" t="str">
        <f t="shared" si="31"/>
        <v/>
      </c>
      <c r="U52" s="123"/>
      <c r="V52" s="123"/>
      <c r="W52" s="123"/>
      <c r="X52" s="125" t="str">
        <f>IFERROR(IF(AND(Q51="Probabilidad",Q52="Probabilidad"),(Z51-(+Z51*T52)),IF(Q52="Probabilidad",(I51-(+I51*T52)),IF(Q52="Impacto",Z51,""))),"")</f>
        <v/>
      </c>
      <c r="Y52" s="126" t="str">
        <f t="shared" si="4"/>
        <v/>
      </c>
      <c r="Z52" s="127" t="str">
        <f t="shared" si="32"/>
        <v/>
      </c>
      <c r="AA52" s="126" t="str">
        <f t="shared" si="5"/>
        <v/>
      </c>
      <c r="AB52" s="127" t="str">
        <f>IFERROR(IF(AND(Q51="Impacto",Q52="Impacto"),(AB51-(+AB51*T52)),IF(Q52="Impacto",(M51-(+M51*T52)),IF(Q52="Probabilidad",AB51,""))),"")</f>
        <v/>
      </c>
      <c r="AC52" s="128" t="str">
        <f t="shared" si="33"/>
        <v/>
      </c>
      <c r="AD52" s="129"/>
      <c r="AE52" s="130"/>
      <c r="AF52" s="131"/>
      <c r="AG52" s="132"/>
      <c r="AH52" s="132"/>
      <c r="AI52" s="130"/>
      <c r="AJ52" s="131"/>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hidden="1" customHeight="1" x14ac:dyDescent="0.3">
      <c r="A53" s="230"/>
      <c r="B53" s="250"/>
      <c r="C53" s="250"/>
      <c r="D53" s="250"/>
      <c r="E53" s="209"/>
      <c r="F53" s="250"/>
      <c r="G53" s="212"/>
      <c r="H53" s="200"/>
      <c r="I53" s="194"/>
      <c r="J53" s="191"/>
      <c r="K53" s="194">
        <f>IF(NOT(ISERROR(MATCH(J53,_xlfn.ANCHORARRAY(E64),0))),I66&amp;"Por favor no seleccionar los criterios de impacto",J53)</f>
        <v>0</v>
      </c>
      <c r="L53" s="200"/>
      <c r="M53" s="194"/>
      <c r="N53" s="203"/>
      <c r="O53" s="120">
        <v>3</v>
      </c>
      <c r="P53" s="133"/>
      <c r="Q53" s="122" t="str">
        <f t="shared" si="30"/>
        <v/>
      </c>
      <c r="R53" s="123"/>
      <c r="S53" s="123"/>
      <c r="T53" s="124" t="str">
        <f t="shared" si="31"/>
        <v/>
      </c>
      <c r="U53" s="123"/>
      <c r="V53" s="123"/>
      <c r="W53" s="123"/>
      <c r="X53" s="125" t="str">
        <f>IFERROR(IF(AND(Q52="Probabilidad",Q53="Probabilidad"),(Z52-(+Z52*T53)),IF(AND(Q52="Impacto",Q53="Probabilidad"),(Z51-(+Z51*T53)),IF(Q53="Impacto",Z52,""))),"")</f>
        <v/>
      </c>
      <c r="Y53" s="126" t="str">
        <f t="shared" si="4"/>
        <v/>
      </c>
      <c r="Z53" s="127" t="str">
        <f t="shared" si="32"/>
        <v/>
      </c>
      <c r="AA53" s="126" t="str">
        <f t="shared" si="5"/>
        <v/>
      </c>
      <c r="AB53" s="127" t="str">
        <f>IFERROR(IF(AND(Q52="Impacto",Q53="Impacto"),(AB52-(+AB52*T53)),IF(AND(Q52="Probabilidad",Q53="Impacto"),(AB51-(+AB51*T53)),IF(Q53="Probabilidad",AB52,""))),"")</f>
        <v/>
      </c>
      <c r="AC53" s="128" t="str">
        <f t="shared" si="33"/>
        <v/>
      </c>
      <c r="AD53" s="129"/>
      <c r="AE53" s="130"/>
      <c r="AF53" s="131"/>
      <c r="AG53" s="132"/>
      <c r="AH53" s="132"/>
      <c r="AI53" s="130"/>
      <c r="AJ53" s="131"/>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hidden="1" customHeight="1" x14ac:dyDescent="0.3">
      <c r="A54" s="230"/>
      <c r="B54" s="250"/>
      <c r="C54" s="250"/>
      <c r="D54" s="250"/>
      <c r="E54" s="209"/>
      <c r="F54" s="250"/>
      <c r="G54" s="212"/>
      <c r="H54" s="200"/>
      <c r="I54" s="194"/>
      <c r="J54" s="191"/>
      <c r="K54" s="194">
        <f>IF(NOT(ISERROR(MATCH(J54,_xlfn.ANCHORARRAY(E65),0))),I67&amp;"Por favor no seleccionar los criterios de impacto",J54)</f>
        <v>0</v>
      </c>
      <c r="L54" s="200"/>
      <c r="M54" s="194"/>
      <c r="N54" s="203"/>
      <c r="O54" s="120">
        <v>4</v>
      </c>
      <c r="P54" s="121"/>
      <c r="Q54" s="122" t="str">
        <f t="shared" si="30"/>
        <v/>
      </c>
      <c r="R54" s="123"/>
      <c r="S54" s="123"/>
      <c r="T54" s="124" t="str">
        <f t="shared" si="31"/>
        <v/>
      </c>
      <c r="U54" s="123"/>
      <c r="V54" s="123"/>
      <c r="W54" s="123"/>
      <c r="X54" s="125" t="str">
        <f>IFERROR(IF(AND(Q53="Probabilidad",Q54="Probabilidad"),(Z53-(+Z53*T54)),IF(AND(Q53="Impacto",Q54="Probabilidad"),(Z52-(+Z52*T54)),IF(Q54="Impacto",Z53,""))),"")</f>
        <v/>
      </c>
      <c r="Y54" s="126" t="str">
        <f t="shared" si="4"/>
        <v/>
      </c>
      <c r="Z54" s="127" t="str">
        <f t="shared" si="32"/>
        <v/>
      </c>
      <c r="AA54" s="126" t="str">
        <f t="shared" si="5"/>
        <v/>
      </c>
      <c r="AB54" s="127" t="str">
        <f>IFERROR(IF(AND(Q53="Impacto",Q54="Impacto"),(AB53-(+AB53*T54)),IF(AND(Q53="Probabilidad",Q54="Impacto"),(AB52-(+AB52*T54)),IF(Q54="Probabilidad",AB53,""))),"")</f>
        <v/>
      </c>
      <c r="AC54" s="128" t="str">
        <f t="shared" si="33"/>
        <v/>
      </c>
      <c r="AD54" s="129"/>
      <c r="AE54" s="130"/>
      <c r="AF54" s="131"/>
      <c r="AG54" s="132"/>
      <c r="AH54" s="132"/>
      <c r="AI54" s="130"/>
      <c r="AJ54" s="13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hidden="1" customHeight="1" x14ac:dyDescent="0.3">
      <c r="A55" s="230"/>
      <c r="B55" s="250"/>
      <c r="C55" s="250"/>
      <c r="D55" s="250"/>
      <c r="E55" s="209"/>
      <c r="F55" s="250"/>
      <c r="G55" s="212"/>
      <c r="H55" s="200"/>
      <c r="I55" s="194"/>
      <c r="J55" s="191"/>
      <c r="K55" s="194">
        <f>IF(NOT(ISERROR(MATCH(J55,_xlfn.ANCHORARRAY(E66),0))),I68&amp;"Por favor no seleccionar los criterios de impacto",J55)</f>
        <v>0</v>
      </c>
      <c r="L55" s="200"/>
      <c r="M55" s="194"/>
      <c r="N55" s="203"/>
      <c r="O55" s="120">
        <v>5</v>
      </c>
      <c r="P55" s="121"/>
      <c r="Q55" s="122" t="str">
        <f t="shared" si="30"/>
        <v/>
      </c>
      <c r="R55" s="123"/>
      <c r="S55" s="123"/>
      <c r="T55" s="124" t="str">
        <f t="shared" si="31"/>
        <v/>
      </c>
      <c r="U55" s="123"/>
      <c r="V55" s="123"/>
      <c r="W55" s="123"/>
      <c r="X55" s="125" t="str">
        <f>IFERROR(IF(AND(Q54="Probabilidad",Q55="Probabilidad"),(Z54-(+Z54*T55)),IF(AND(Q54="Impacto",Q55="Probabilidad"),(Z53-(+Z53*T55)),IF(Q55="Impacto",Z54,""))),"")</f>
        <v/>
      </c>
      <c r="Y55" s="126" t="str">
        <f t="shared" si="4"/>
        <v/>
      </c>
      <c r="Z55" s="127" t="str">
        <f t="shared" si="32"/>
        <v/>
      </c>
      <c r="AA55" s="126" t="str">
        <f t="shared" si="5"/>
        <v/>
      </c>
      <c r="AB55" s="127" t="str">
        <f>IFERROR(IF(AND(Q54="Impacto",Q55="Impacto"),(AB54-(+AB54*T55)),IF(AND(Q54="Probabilidad",Q55="Impacto"),(AB53-(+AB53*T55)),IF(Q55="Probabilidad",AB54,""))),"")</f>
        <v/>
      </c>
      <c r="AC55" s="128" t="str">
        <f t="shared" si="33"/>
        <v/>
      </c>
      <c r="AD55" s="129"/>
      <c r="AE55" s="130"/>
      <c r="AF55" s="131"/>
      <c r="AG55" s="132"/>
      <c r="AH55" s="132"/>
      <c r="AI55" s="130"/>
      <c r="AJ55" s="13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hidden="1" customHeight="1" x14ac:dyDescent="0.3">
      <c r="A56" s="231"/>
      <c r="B56" s="251"/>
      <c r="C56" s="251"/>
      <c r="D56" s="251"/>
      <c r="E56" s="210"/>
      <c r="F56" s="251"/>
      <c r="G56" s="213"/>
      <c r="H56" s="201"/>
      <c r="I56" s="195"/>
      <c r="J56" s="192"/>
      <c r="K56" s="195">
        <f>IF(NOT(ISERROR(MATCH(J56,_xlfn.ANCHORARRAY(E67),0))),I69&amp;"Por favor no seleccionar los criterios de impacto",J56)</f>
        <v>0</v>
      </c>
      <c r="L56" s="201"/>
      <c r="M56" s="195"/>
      <c r="N56" s="204"/>
      <c r="O56" s="120">
        <v>6</v>
      </c>
      <c r="P56" s="121"/>
      <c r="Q56" s="122" t="str">
        <f t="shared" si="30"/>
        <v/>
      </c>
      <c r="R56" s="123"/>
      <c r="S56" s="123"/>
      <c r="T56" s="124" t="str">
        <f t="shared" si="31"/>
        <v/>
      </c>
      <c r="U56" s="123"/>
      <c r="V56" s="123"/>
      <c r="W56" s="123"/>
      <c r="X56" s="125" t="str">
        <f>IFERROR(IF(AND(Q55="Probabilidad",Q56="Probabilidad"),(Z55-(+Z55*T56)),IF(AND(Q55="Impacto",Q56="Probabilidad"),(Z54-(+Z54*T56)),IF(Q56="Impacto",Z55,""))),"")</f>
        <v/>
      </c>
      <c r="Y56" s="126" t="str">
        <f t="shared" si="4"/>
        <v/>
      </c>
      <c r="Z56" s="127" t="str">
        <f t="shared" si="32"/>
        <v/>
      </c>
      <c r="AA56" s="126" t="str">
        <f t="shared" si="5"/>
        <v/>
      </c>
      <c r="AB56" s="127" t="str">
        <f>IFERROR(IF(AND(Q55="Impacto",Q56="Impacto"),(AB55-(+AB55*T56)),IF(AND(Q55="Probabilidad",Q56="Impacto"),(AB54-(+AB54*T56)),IF(Q56="Probabilidad",AB55,""))),"")</f>
        <v/>
      </c>
      <c r="AC56" s="128" t="str">
        <f t="shared" si="33"/>
        <v/>
      </c>
      <c r="AD56" s="129"/>
      <c r="AE56" s="130"/>
      <c r="AF56" s="131"/>
      <c r="AG56" s="132"/>
      <c r="AH56" s="132"/>
      <c r="AI56" s="130"/>
      <c r="AJ56" s="13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hidden="1" customHeight="1" x14ac:dyDescent="0.3">
      <c r="A57" s="229">
        <v>10</v>
      </c>
      <c r="B57" s="249"/>
      <c r="C57" s="249"/>
      <c r="D57" s="249"/>
      <c r="E57" s="208"/>
      <c r="F57" s="249"/>
      <c r="G57" s="211"/>
      <c r="H57" s="199" t="str">
        <f>IF(G57&lt;=0,"",IF(G57&lt;=2,"Muy Baja",IF(G57&lt;=24,"Baja",IF(G57&lt;=500,"Media",IF(G57&lt;=5000,"Alta","Muy Alta")))))</f>
        <v/>
      </c>
      <c r="I57" s="193" t="str">
        <f>IF(H57="","",IF(H57="Muy Baja",0.2,IF(H57="Baja",0.4,IF(H57="Media",0.6,IF(H57="Alta",0.8,IF(H57="Muy Alta",1,))))))</f>
        <v/>
      </c>
      <c r="J57" s="190"/>
      <c r="K57" s="193">
        <f>IF(NOT(ISERROR(MATCH(J57,'Tabla Impacto'!$B$221:$B$223,0))),'Tabla Impacto'!$F$223&amp;"Por favor no seleccionar los criterios de impacto(Afectación Económica o presupuestal y Pérdida Reputacional)",J57)</f>
        <v>0</v>
      </c>
      <c r="L57" s="199" t="str">
        <f>IF(OR(K57='Tabla Impacto'!$C$11,K57='Tabla Impacto'!$D$11),"Leve",IF(OR(K57='Tabla Impacto'!$C$12,K57='Tabla Impacto'!$D$12),"Menor",IF(OR(K57='Tabla Impacto'!$C$13,K57='Tabla Impacto'!$D$13),"Moderado",IF(OR(K57='Tabla Impacto'!$C$14,K57='Tabla Impacto'!$D$14),"Mayor",IF(OR(K57='Tabla Impacto'!$C$15,K57='Tabla Impacto'!$D$15),"Catastrófico","")))))</f>
        <v/>
      </c>
      <c r="M57" s="193" t="str">
        <f>IF(L57="","",IF(L57="Leve",0.2,IF(L57="Menor",0.4,IF(L57="Moderado",0.6,IF(L57="Mayor",0.8,IF(L57="Catastrófico",1,))))))</f>
        <v/>
      </c>
      <c r="N57" s="202"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120">
        <v>1</v>
      </c>
      <c r="P57" s="121"/>
      <c r="Q57" s="122" t="str">
        <f t="shared" si="30"/>
        <v/>
      </c>
      <c r="R57" s="123"/>
      <c r="S57" s="123"/>
      <c r="T57" s="124" t="str">
        <f t="shared" si="31"/>
        <v/>
      </c>
      <c r="U57" s="123"/>
      <c r="V57" s="123"/>
      <c r="W57" s="123"/>
      <c r="X57" s="125" t="str">
        <f>IFERROR(IF(Q57="Probabilidad",(I57-(+I57*T57)),IF(Q57="Impacto",I57,"")),"")</f>
        <v/>
      </c>
      <c r="Y57" s="126" t="str">
        <f>IFERROR(IF(X57="","",IF(X57&lt;=0.2,"Muy Baja",IF(X57&lt;=0.4,"Baja",IF(X57&lt;=0.6,"Media",IF(X57&lt;=0.8,"Alta","Muy Alta"))))),"")</f>
        <v/>
      </c>
      <c r="Z57" s="127" t="str">
        <f t="shared" si="32"/>
        <v/>
      </c>
      <c r="AA57" s="126" t="str">
        <f>IFERROR(IF(AB57="","",IF(AB57&lt;=0.2,"Leve",IF(AB57&lt;=0.4,"Menor",IF(AB57&lt;=0.6,"Moderado",IF(AB57&lt;=0.8,"Mayor","Catastrófico"))))),"")</f>
        <v/>
      </c>
      <c r="AB57" s="127" t="str">
        <f>IFERROR(IF(Q57="Impacto",(M57-(+M57*T57)),IF(Q57="Probabilidad",M57,"")),"")</f>
        <v/>
      </c>
      <c r="AC57" s="128" t="str">
        <f t="shared" si="33"/>
        <v/>
      </c>
      <c r="AD57" s="129"/>
      <c r="AE57" s="130"/>
      <c r="AF57" s="131"/>
      <c r="AG57" s="132"/>
      <c r="AH57" s="132"/>
      <c r="AI57" s="130"/>
      <c r="AJ57" s="131"/>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hidden="1" customHeight="1" x14ac:dyDescent="0.3">
      <c r="A58" s="230"/>
      <c r="B58" s="250"/>
      <c r="C58" s="250"/>
      <c r="D58" s="250"/>
      <c r="E58" s="209"/>
      <c r="F58" s="250"/>
      <c r="G58" s="212"/>
      <c r="H58" s="200"/>
      <c r="I58" s="194"/>
      <c r="J58" s="191"/>
      <c r="K58" s="194">
        <f>IF(NOT(ISERROR(MATCH(J58,_xlfn.ANCHORARRAY(E69),0))),I71&amp;"Por favor no seleccionar los criterios de impacto",J58)</f>
        <v>0</v>
      </c>
      <c r="L58" s="200"/>
      <c r="M58" s="194"/>
      <c r="N58" s="203"/>
      <c r="O58" s="120">
        <v>2</v>
      </c>
      <c r="P58" s="121"/>
      <c r="Q58" s="122" t="str">
        <f t="shared" si="30"/>
        <v/>
      </c>
      <c r="R58" s="123"/>
      <c r="S58" s="123"/>
      <c r="T58" s="124" t="str">
        <f t="shared" si="31"/>
        <v/>
      </c>
      <c r="U58" s="123"/>
      <c r="V58" s="123"/>
      <c r="W58" s="123"/>
      <c r="X58" s="125" t="str">
        <f>IFERROR(IF(AND(Q57="Probabilidad",Q58="Probabilidad"),(Z57-(+Z57*T58)),IF(Q58="Probabilidad",(I57-(+I57*T58)),IF(Q58="Impacto",Z57,""))),"")</f>
        <v/>
      </c>
      <c r="Y58" s="126" t="str">
        <f t="shared" si="4"/>
        <v/>
      </c>
      <c r="Z58" s="127" t="str">
        <f t="shared" si="32"/>
        <v/>
      </c>
      <c r="AA58" s="126" t="str">
        <f t="shared" si="5"/>
        <v/>
      </c>
      <c r="AB58" s="127" t="str">
        <f>IFERROR(IF(AND(Q57="Impacto",Q58="Impacto"),(AB57-(+AB57*T58)),IF(Q58="Impacto",(M57-(+M57*T58)),IF(Q58="Probabilidad",AB57,""))),"")</f>
        <v/>
      </c>
      <c r="AC58" s="128" t="str">
        <f t="shared" si="33"/>
        <v/>
      </c>
      <c r="AD58" s="129"/>
      <c r="AE58" s="130"/>
      <c r="AF58" s="131"/>
      <c r="AG58" s="132"/>
      <c r="AH58" s="132"/>
      <c r="AI58" s="130"/>
      <c r="AJ58" s="131"/>
    </row>
    <row r="59" spans="1:68" ht="151.5" hidden="1" customHeight="1" x14ac:dyDescent="0.3">
      <c r="A59" s="230"/>
      <c r="B59" s="250"/>
      <c r="C59" s="250"/>
      <c r="D59" s="250"/>
      <c r="E59" s="209"/>
      <c r="F59" s="250"/>
      <c r="G59" s="212"/>
      <c r="H59" s="200"/>
      <c r="I59" s="194"/>
      <c r="J59" s="191"/>
      <c r="K59" s="194">
        <f>IF(NOT(ISERROR(MATCH(J59,_xlfn.ANCHORARRAY(E70),0))),I72&amp;"Por favor no seleccionar los criterios de impacto",J59)</f>
        <v>0</v>
      </c>
      <c r="L59" s="200"/>
      <c r="M59" s="194"/>
      <c r="N59" s="203"/>
      <c r="O59" s="120">
        <v>3</v>
      </c>
      <c r="P59" s="133"/>
      <c r="Q59" s="122" t="str">
        <f t="shared" si="30"/>
        <v/>
      </c>
      <c r="R59" s="123"/>
      <c r="S59" s="123"/>
      <c r="T59" s="124" t="str">
        <f t="shared" si="31"/>
        <v/>
      </c>
      <c r="U59" s="123"/>
      <c r="V59" s="123"/>
      <c r="W59" s="123"/>
      <c r="X59" s="125" t="str">
        <f>IFERROR(IF(AND(Q58="Probabilidad",Q59="Probabilidad"),(Z58-(+Z58*T59)),IF(AND(Q58="Impacto",Q59="Probabilidad"),(Z57-(+Z57*T59)),IF(Q59="Impacto",Z58,""))),"")</f>
        <v/>
      </c>
      <c r="Y59" s="126" t="str">
        <f t="shared" si="4"/>
        <v/>
      </c>
      <c r="Z59" s="127" t="str">
        <f t="shared" si="32"/>
        <v/>
      </c>
      <c r="AA59" s="126" t="str">
        <f t="shared" si="5"/>
        <v/>
      </c>
      <c r="AB59" s="127" t="str">
        <f>IFERROR(IF(AND(Q58="Impacto",Q59="Impacto"),(AB58-(+AB58*T59)),IF(AND(Q58="Probabilidad",Q59="Impacto"),(AB57-(+AB57*T59)),IF(Q59="Probabilidad",AB58,""))),"")</f>
        <v/>
      </c>
      <c r="AC59" s="128" t="str">
        <f t="shared" si="33"/>
        <v/>
      </c>
      <c r="AD59" s="129"/>
      <c r="AE59" s="130"/>
      <c r="AF59" s="131"/>
      <c r="AG59" s="132"/>
      <c r="AH59" s="132"/>
      <c r="AI59" s="130"/>
      <c r="AJ59" s="131"/>
    </row>
    <row r="60" spans="1:68" ht="151.5" hidden="1" customHeight="1" x14ac:dyDescent="0.3">
      <c r="A60" s="230"/>
      <c r="B60" s="250"/>
      <c r="C60" s="250"/>
      <c r="D60" s="250"/>
      <c r="E60" s="209"/>
      <c r="F60" s="250"/>
      <c r="G60" s="212"/>
      <c r="H60" s="200"/>
      <c r="I60" s="194"/>
      <c r="J60" s="191"/>
      <c r="K60" s="194">
        <f>IF(NOT(ISERROR(MATCH(J60,_xlfn.ANCHORARRAY(E71),0))),I73&amp;"Por favor no seleccionar los criterios de impacto",J60)</f>
        <v>0</v>
      </c>
      <c r="L60" s="200"/>
      <c r="M60" s="194"/>
      <c r="N60" s="203"/>
      <c r="O60" s="120">
        <v>4</v>
      </c>
      <c r="P60" s="121"/>
      <c r="Q60" s="122" t="str">
        <f t="shared" si="30"/>
        <v/>
      </c>
      <c r="R60" s="123"/>
      <c r="S60" s="123"/>
      <c r="T60" s="124" t="str">
        <f t="shared" si="31"/>
        <v/>
      </c>
      <c r="U60" s="123"/>
      <c r="V60" s="123"/>
      <c r="W60" s="123"/>
      <c r="X60" s="125" t="str">
        <f>IFERROR(IF(AND(Q59="Probabilidad",Q60="Probabilidad"),(Z59-(+Z59*T60)),IF(AND(Q59="Impacto",Q60="Probabilidad"),(Z58-(+Z58*T60)),IF(Q60="Impacto",Z59,""))),"")</f>
        <v/>
      </c>
      <c r="Y60" s="126" t="str">
        <f t="shared" si="4"/>
        <v/>
      </c>
      <c r="Z60" s="127" t="str">
        <f t="shared" si="32"/>
        <v/>
      </c>
      <c r="AA60" s="126" t="str">
        <f t="shared" si="5"/>
        <v/>
      </c>
      <c r="AB60" s="127" t="str">
        <f>IFERROR(IF(AND(Q59="Impacto",Q60="Impacto"),(AB59-(+AB59*T60)),IF(AND(Q59="Probabilidad",Q60="Impacto"),(AB58-(+AB58*T60)),IF(Q60="Probabilidad",AB59,""))),"")</f>
        <v/>
      </c>
      <c r="AC60" s="128" t="str">
        <f t="shared" si="33"/>
        <v/>
      </c>
      <c r="AD60" s="129"/>
      <c r="AE60" s="130"/>
      <c r="AF60" s="131"/>
      <c r="AG60" s="132"/>
      <c r="AH60" s="132"/>
      <c r="AI60" s="130"/>
      <c r="AJ60" s="131"/>
    </row>
    <row r="61" spans="1:68" ht="151.5" hidden="1" customHeight="1" x14ac:dyDescent="0.3">
      <c r="A61" s="230"/>
      <c r="B61" s="250"/>
      <c r="C61" s="250"/>
      <c r="D61" s="250"/>
      <c r="E61" s="209"/>
      <c r="F61" s="250"/>
      <c r="G61" s="212"/>
      <c r="H61" s="200"/>
      <c r="I61" s="194"/>
      <c r="J61" s="191"/>
      <c r="K61" s="194">
        <f>IF(NOT(ISERROR(MATCH(J61,_xlfn.ANCHORARRAY(E72),0))),I74&amp;"Por favor no seleccionar los criterios de impacto",J61)</f>
        <v>0</v>
      </c>
      <c r="L61" s="200"/>
      <c r="M61" s="194"/>
      <c r="N61" s="203"/>
      <c r="O61" s="120">
        <v>5</v>
      </c>
      <c r="P61" s="121"/>
      <c r="Q61" s="122" t="str">
        <f t="shared" si="30"/>
        <v/>
      </c>
      <c r="R61" s="123"/>
      <c r="S61" s="123"/>
      <c r="T61" s="124" t="str">
        <f t="shared" si="31"/>
        <v/>
      </c>
      <c r="U61" s="123"/>
      <c r="V61" s="123"/>
      <c r="W61" s="123"/>
      <c r="X61" s="125" t="str">
        <f>IFERROR(IF(AND(Q60="Probabilidad",Q61="Probabilidad"),(Z60-(+Z60*T61)),IF(AND(Q60="Impacto",Q61="Probabilidad"),(Z59-(+Z59*T61)),IF(Q61="Impacto",Z60,""))),"")</f>
        <v/>
      </c>
      <c r="Y61" s="126" t="str">
        <f t="shared" si="4"/>
        <v/>
      </c>
      <c r="Z61" s="127" t="str">
        <f t="shared" si="32"/>
        <v/>
      </c>
      <c r="AA61" s="126" t="str">
        <f t="shared" si="5"/>
        <v/>
      </c>
      <c r="AB61" s="127" t="str">
        <f>IFERROR(IF(AND(Q60="Impacto",Q61="Impacto"),(AB60-(+AB60*T61)),IF(AND(Q60="Probabilidad",Q61="Impacto"),(AB59-(+AB59*T61)),IF(Q61="Probabilidad",AB60,""))),"")</f>
        <v/>
      </c>
      <c r="AC61" s="128" t="str">
        <f t="shared" si="33"/>
        <v/>
      </c>
      <c r="AD61" s="129"/>
      <c r="AE61" s="130"/>
      <c r="AF61" s="131"/>
      <c r="AG61" s="132"/>
      <c r="AH61" s="132"/>
      <c r="AI61" s="130"/>
      <c r="AJ61" s="131"/>
    </row>
    <row r="62" spans="1:68" ht="151.5" hidden="1" customHeight="1" x14ac:dyDescent="0.3">
      <c r="A62" s="231"/>
      <c r="B62" s="251"/>
      <c r="C62" s="251"/>
      <c r="D62" s="251"/>
      <c r="E62" s="210"/>
      <c r="F62" s="251"/>
      <c r="G62" s="213"/>
      <c r="H62" s="201"/>
      <c r="I62" s="195"/>
      <c r="J62" s="192"/>
      <c r="K62" s="195">
        <f>IF(NOT(ISERROR(MATCH(J62,_xlfn.ANCHORARRAY(E73),0))),I75&amp;"Por favor no seleccionar los criterios de impacto",J62)</f>
        <v>0</v>
      </c>
      <c r="L62" s="201"/>
      <c r="M62" s="195"/>
      <c r="N62" s="204"/>
      <c r="O62" s="120">
        <v>6</v>
      </c>
      <c r="P62" s="121"/>
      <c r="Q62" s="122" t="str">
        <f t="shared" si="30"/>
        <v/>
      </c>
      <c r="R62" s="123"/>
      <c r="S62" s="123"/>
      <c r="T62" s="124" t="str">
        <f t="shared" si="31"/>
        <v/>
      </c>
      <c r="U62" s="123"/>
      <c r="V62" s="123"/>
      <c r="W62" s="123"/>
      <c r="X62" s="125" t="str">
        <f>IFERROR(IF(AND(Q61="Probabilidad",Q62="Probabilidad"),(Z61-(+Z61*T62)),IF(AND(Q61="Impacto",Q62="Probabilidad"),(Z60-(+Z60*T62)),IF(Q62="Impacto",Z61,""))),"")</f>
        <v/>
      </c>
      <c r="Y62" s="126" t="str">
        <f t="shared" si="4"/>
        <v/>
      </c>
      <c r="Z62" s="127" t="str">
        <f t="shared" si="32"/>
        <v/>
      </c>
      <c r="AA62" s="126" t="str">
        <f t="shared" si="5"/>
        <v/>
      </c>
      <c r="AB62" s="127" t="str">
        <f>IFERROR(IF(AND(Q61="Impacto",Q62="Impacto"),(AB61-(+AB61*T62)),IF(AND(Q61="Probabilidad",Q62="Impacto"),(AB60-(+AB60*T62)),IF(Q62="Probabilidad",AB61,""))),"")</f>
        <v/>
      </c>
      <c r="AC62" s="128" t="str">
        <f t="shared" si="33"/>
        <v/>
      </c>
      <c r="AD62" s="129"/>
      <c r="AE62" s="130"/>
      <c r="AF62" s="131"/>
      <c r="AG62" s="132"/>
      <c r="AH62" s="132"/>
      <c r="AI62" s="130"/>
      <c r="AJ62" s="131"/>
    </row>
    <row r="63" spans="1:68" ht="49.5" customHeight="1" x14ac:dyDescent="0.3">
      <c r="A63" s="6"/>
      <c r="B63" s="259" t="s">
        <v>131</v>
      </c>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1"/>
    </row>
    <row r="65" spans="2:2" s="1" customFormat="1" x14ac:dyDescent="0.3">
      <c r="B65" s="24" t="s">
        <v>143</v>
      </c>
    </row>
  </sheetData>
  <dataConsolidate/>
  <mergeCells count="174">
    <mergeCell ref="AK7:AL8"/>
    <mergeCell ref="AK9:AK10"/>
    <mergeCell ref="AL9:AL10"/>
    <mergeCell ref="A1:AH3"/>
    <mergeCell ref="A7:G7"/>
    <mergeCell ref="H7:N7"/>
    <mergeCell ref="O7:W7"/>
    <mergeCell ref="X7:AD7"/>
    <mergeCell ref="AE7:AJ7"/>
    <mergeCell ref="B63:AJ63"/>
    <mergeCell ref="M51:M56"/>
    <mergeCell ref="N51:N56"/>
    <mergeCell ref="A57:A62"/>
    <mergeCell ref="B57:B62"/>
    <mergeCell ref="C57:C62"/>
    <mergeCell ref="D57:D62"/>
    <mergeCell ref="E57:E62"/>
    <mergeCell ref="F57:F62"/>
    <mergeCell ref="G57:G62"/>
    <mergeCell ref="H57:H62"/>
    <mergeCell ref="I57:I62"/>
    <mergeCell ref="J57:J62"/>
    <mergeCell ref="K57:K62"/>
    <mergeCell ref="L57:L62"/>
    <mergeCell ref="M57:M62"/>
    <mergeCell ref="N57:N62"/>
    <mergeCell ref="J51:J56"/>
    <mergeCell ref="K45:K50"/>
    <mergeCell ref="L45:L50"/>
    <mergeCell ref="M45:M50"/>
    <mergeCell ref="N45:N50"/>
    <mergeCell ref="K51:K56"/>
    <mergeCell ref="L51:L56"/>
    <mergeCell ref="A51:A56"/>
    <mergeCell ref="B51:B56"/>
    <mergeCell ref="C51:C56"/>
    <mergeCell ref="D51:D56"/>
    <mergeCell ref="E51:E56"/>
    <mergeCell ref="F51:F56"/>
    <mergeCell ref="G51:G56"/>
    <mergeCell ref="H51:H56"/>
    <mergeCell ref="I51:I56"/>
    <mergeCell ref="F45:F50"/>
    <mergeCell ref="G45:G50"/>
    <mergeCell ref="H45:H50"/>
    <mergeCell ref="I45:I50"/>
    <mergeCell ref="J45:J50"/>
    <mergeCell ref="A45:A50"/>
    <mergeCell ref="B45:B50"/>
    <mergeCell ref="C45:C50"/>
    <mergeCell ref="D45:D50"/>
    <mergeCell ref="E45:E50"/>
    <mergeCell ref="A39:A44"/>
    <mergeCell ref="B39:B44"/>
    <mergeCell ref="C39:C44"/>
    <mergeCell ref="D39:D44"/>
    <mergeCell ref="E39:E44"/>
    <mergeCell ref="M33:M38"/>
    <mergeCell ref="N33:N38"/>
    <mergeCell ref="J39:J44"/>
    <mergeCell ref="K39:K44"/>
    <mergeCell ref="L39:L44"/>
    <mergeCell ref="A33:A38"/>
    <mergeCell ref="B33:B38"/>
    <mergeCell ref="C33:C38"/>
    <mergeCell ref="D33:D38"/>
    <mergeCell ref="E33:E38"/>
    <mergeCell ref="F33:F38"/>
    <mergeCell ref="G33:G38"/>
    <mergeCell ref="H33:H38"/>
    <mergeCell ref="I33:I38"/>
    <mergeCell ref="J33:J38"/>
    <mergeCell ref="K33:K38"/>
    <mergeCell ref="L33:L38"/>
    <mergeCell ref="M39:M44"/>
    <mergeCell ref="N39:N44"/>
    <mergeCell ref="F39:F44"/>
    <mergeCell ref="G39:G44"/>
    <mergeCell ref="H39:H44"/>
    <mergeCell ref="I39:I44"/>
    <mergeCell ref="H22:H27"/>
    <mergeCell ref="I22:I27"/>
    <mergeCell ref="D16:D21"/>
    <mergeCell ref="E16:E21"/>
    <mergeCell ref="M22:M27"/>
    <mergeCell ref="N22:N27"/>
    <mergeCell ref="A28:A32"/>
    <mergeCell ref="B28:B32"/>
    <mergeCell ref="C28:C32"/>
    <mergeCell ref="D28:D32"/>
    <mergeCell ref="E28:E32"/>
    <mergeCell ref="F28:F32"/>
    <mergeCell ref="G28:G32"/>
    <mergeCell ref="H28:H32"/>
    <mergeCell ref="I28:I32"/>
    <mergeCell ref="J28:J32"/>
    <mergeCell ref="K28:K32"/>
    <mergeCell ref="L28:L32"/>
    <mergeCell ref="M28:M32"/>
    <mergeCell ref="N28:N32"/>
    <mergeCell ref="L22:L27"/>
    <mergeCell ref="A16:A21"/>
    <mergeCell ref="B16:B21"/>
    <mergeCell ref="A22:A27"/>
    <mergeCell ref="B22:B27"/>
    <mergeCell ref="C22:C27"/>
    <mergeCell ref="D22:D27"/>
    <mergeCell ref="E22:E27"/>
    <mergeCell ref="F22:F27"/>
    <mergeCell ref="O4:Q4"/>
    <mergeCell ref="B8:B9"/>
    <mergeCell ref="N8:N9"/>
    <mergeCell ref="J8:J9"/>
    <mergeCell ref="K8:K9"/>
    <mergeCell ref="Q8:Q9"/>
    <mergeCell ref="N10:N15"/>
    <mergeCell ref="I10:I15"/>
    <mergeCell ref="J10:J15"/>
    <mergeCell ref="K10:K15"/>
    <mergeCell ref="L10:L15"/>
    <mergeCell ref="M10:M15"/>
    <mergeCell ref="F10:F15"/>
    <mergeCell ref="G10:G15"/>
    <mergeCell ref="H10:H15"/>
    <mergeCell ref="I8:I9"/>
    <mergeCell ref="L8:L9"/>
    <mergeCell ref="G22:G27"/>
    <mergeCell ref="F16:F21"/>
    <mergeCell ref="G16:G21"/>
    <mergeCell ref="H16:H21"/>
    <mergeCell ref="I16:I21"/>
    <mergeCell ref="J16:J21"/>
    <mergeCell ref="G8:G9"/>
    <mergeCell ref="H8:H9"/>
    <mergeCell ref="A4:B4"/>
    <mergeCell ref="A5:B5"/>
    <mergeCell ref="A6:B6"/>
    <mergeCell ref="A8:A9"/>
    <mergeCell ref="F8:F9"/>
    <mergeCell ref="E8:E9"/>
    <mergeCell ref="D8:D9"/>
    <mergeCell ref="C8:C9"/>
    <mergeCell ref="C5:N5"/>
    <mergeCell ref="C6:N6"/>
    <mergeCell ref="C4:N4"/>
    <mergeCell ref="A10:A15"/>
    <mergeCell ref="B10:B15"/>
    <mergeCell ref="C10:C15"/>
    <mergeCell ref="D10:D15"/>
    <mergeCell ref="E10:E15"/>
    <mergeCell ref="C16:C21"/>
    <mergeCell ref="M8:M9"/>
    <mergeCell ref="AJ8:AJ9"/>
    <mergeCell ref="AI8:AI9"/>
    <mergeCell ref="AH8:AH9"/>
    <mergeCell ref="AG8:AG9"/>
    <mergeCell ref="AF8:AF9"/>
    <mergeCell ref="J22:J27"/>
    <mergeCell ref="K22:K27"/>
    <mergeCell ref="AE8:AE9"/>
    <mergeCell ref="K16:K21"/>
    <mergeCell ref="L16:L21"/>
    <mergeCell ref="M16:M21"/>
    <mergeCell ref="N16:N21"/>
    <mergeCell ref="AA8:AA9"/>
    <mergeCell ref="Y8:Y9"/>
    <mergeCell ref="Z8:Z9"/>
    <mergeCell ref="AD8:AD9"/>
    <mergeCell ref="O8:O9"/>
    <mergeCell ref="AC8:AC9"/>
    <mergeCell ref="AB8:AB9"/>
    <mergeCell ref="X8:X9"/>
    <mergeCell ref="P8:P9"/>
    <mergeCell ref="R8:W8"/>
  </mergeCells>
  <conditionalFormatting sqref="H10">
    <cfRule type="cellIs" dxfId="114" priority="370" operator="equal">
      <formula>"Media"</formula>
    </cfRule>
    <cfRule type="cellIs" dxfId="113" priority="369" operator="equal">
      <formula>"Alta"</formula>
    </cfRule>
    <cfRule type="cellIs" dxfId="112" priority="368" operator="equal">
      <formula>"Muy Alta"</formula>
    </cfRule>
    <cfRule type="cellIs" dxfId="111" priority="372" operator="equal">
      <formula>"Muy Baja"</formula>
    </cfRule>
    <cfRule type="cellIs" dxfId="110" priority="371" operator="equal">
      <formula>"Baja"</formula>
    </cfRule>
  </conditionalFormatting>
  <conditionalFormatting sqref="H16">
    <cfRule type="cellIs" dxfId="109" priority="37" operator="equal">
      <formula>"Alta"</formula>
    </cfRule>
    <cfRule type="cellIs" dxfId="108" priority="36" operator="equal">
      <formula>"Muy Alta"</formula>
    </cfRule>
    <cfRule type="cellIs" dxfId="107" priority="38" operator="equal">
      <formula>"Media"</formula>
    </cfRule>
    <cfRule type="cellIs" dxfId="106" priority="39" operator="equal">
      <formula>"Baja"</formula>
    </cfRule>
    <cfRule type="cellIs" dxfId="105" priority="40" operator="equal">
      <formula>"Muy Baja"</formula>
    </cfRule>
  </conditionalFormatting>
  <conditionalFormatting sqref="H22">
    <cfRule type="cellIs" dxfId="104" priority="272" operator="equal">
      <formula>"Media"</formula>
    </cfRule>
    <cfRule type="cellIs" dxfId="103" priority="271" operator="equal">
      <formula>"Alta"</formula>
    </cfRule>
    <cfRule type="cellIs" dxfId="102" priority="270" operator="equal">
      <formula>"Muy Alta"</formula>
    </cfRule>
    <cfRule type="cellIs" dxfId="101" priority="274" operator="equal">
      <formula>"Muy Baja"</formula>
    </cfRule>
    <cfRule type="cellIs" dxfId="100" priority="273" operator="equal">
      <formula>"Baja"</formula>
    </cfRule>
  </conditionalFormatting>
  <conditionalFormatting sqref="H28">
    <cfRule type="cellIs" dxfId="99" priority="245" operator="equal">
      <formula>"Baja"</formula>
    </cfRule>
    <cfRule type="cellIs" dxfId="98" priority="244" operator="equal">
      <formula>"Media"</formula>
    </cfRule>
    <cfRule type="cellIs" dxfId="97" priority="243" operator="equal">
      <formula>"Alta"</formula>
    </cfRule>
    <cfRule type="cellIs" dxfId="96" priority="242" operator="equal">
      <formula>"Muy Alta"</formula>
    </cfRule>
    <cfRule type="cellIs" dxfId="95" priority="246" operator="equal">
      <formula>"Muy Baja"</formula>
    </cfRule>
  </conditionalFormatting>
  <conditionalFormatting sqref="H33">
    <cfRule type="cellIs" dxfId="94" priority="214" operator="equal">
      <formula>"Muy Alta"</formula>
    </cfRule>
    <cfRule type="cellIs" dxfId="93" priority="218" operator="equal">
      <formula>"Muy Baja"</formula>
    </cfRule>
    <cfRule type="cellIs" dxfId="92" priority="217" operator="equal">
      <formula>"Baja"</formula>
    </cfRule>
    <cfRule type="cellIs" dxfId="91" priority="216" operator="equal">
      <formula>"Media"</formula>
    </cfRule>
    <cfRule type="cellIs" dxfId="90" priority="215" operator="equal">
      <formula>"Alta"</formula>
    </cfRule>
  </conditionalFormatting>
  <conditionalFormatting sqref="H39">
    <cfRule type="cellIs" dxfId="89" priority="158" operator="equal">
      <formula>"Muy Alta"</formula>
    </cfRule>
    <cfRule type="cellIs" dxfId="88" priority="160" operator="equal">
      <formula>"Media"</formula>
    </cfRule>
    <cfRule type="cellIs" dxfId="87" priority="162" operator="equal">
      <formula>"Muy Baja"</formula>
    </cfRule>
    <cfRule type="cellIs" dxfId="86" priority="161" operator="equal">
      <formula>"Baja"</formula>
    </cfRule>
    <cfRule type="cellIs" dxfId="85" priority="159" operator="equal">
      <formula>"Alta"</formula>
    </cfRule>
  </conditionalFormatting>
  <conditionalFormatting sqref="H45">
    <cfRule type="cellIs" dxfId="84" priority="134" operator="equal">
      <formula>"Muy Baja"</formula>
    </cfRule>
    <cfRule type="cellIs" dxfId="83" priority="130" operator="equal">
      <formula>"Muy Alta"</formula>
    </cfRule>
    <cfRule type="cellIs" dxfId="82" priority="133" operator="equal">
      <formula>"Baja"</formula>
    </cfRule>
    <cfRule type="cellIs" dxfId="81" priority="132" operator="equal">
      <formula>"Media"</formula>
    </cfRule>
    <cfRule type="cellIs" dxfId="80" priority="131" operator="equal">
      <formula>"Alta"</formula>
    </cfRule>
  </conditionalFormatting>
  <conditionalFormatting sqref="H51">
    <cfRule type="cellIs" dxfId="79" priority="102" operator="equal">
      <formula>"Muy Alta"</formula>
    </cfRule>
    <cfRule type="cellIs" dxfId="78" priority="103" operator="equal">
      <formula>"Alta"</formula>
    </cfRule>
    <cfRule type="cellIs" dxfId="77" priority="104" operator="equal">
      <formula>"Media"</formula>
    </cfRule>
    <cfRule type="cellIs" dxfId="76" priority="105" operator="equal">
      <formula>"Baja"</formula>
    </cfRule>
    <cfRule type="cellIs" dxfId="75" priority="106" operator="equal">
      <formula>"Muy Baja"</formula>
    </cfRule>
  </conditionalFormatting>
  <conditionalFormatting sqref="H57">
    <cfRule type="cellIs" dxfId="74" priority="76" operator="equal">
      <formula>"Media"</formula>
    </cfRule>
    <cfRule type="cellIs" dxfId="73" priority="77" operator="equal">
      <formula>"Baja"</formula>
    </cfRule>
    <cfRule type="cellIs" dxfId="72" priority="78" operator="equal">
      <formula>"Muy Baja"</formula>
    </cfRule>
    <cfRule type="cellIs" dxfId="71" priority="74" operator="equal">
      <formula>"Muy Alta"</formula>
    </cfRule>
    <cfRule type="cellIs" dxfId="70" priority="75" operator="equal">
      <formula>"Alta"</formula>
    </cfRule>
  </conditionalFormatting>
  <conditionalFormatting sqref="K10:K62">
    <cfRule type="containsText" dxfId="69" priority="50" operator="containsText" text="❌">
      <formula>NOT(ISERROR(SEARCH("❌",K10)))</formula>
    </cfRule>
  </conditionalFormatting>
  <conditionalFormatting sqref="L10 L22 L28 L33 L39 L45 L51 L57">
    <cfRule type="cellIs" dxfId="68" priority="363" operator="equal">
      <formula>"Catastrófico"</formula>
    </cfRule>
    <cfRule type="cellIs" dxfId="67" priority="366" operator="equal">
      <formula>"Menor"</formula>
    </cfRule>
    <cfRule type="cellIs" dxfId="66" priority="364" operator="equal">
      <formula>"Mayor"</formula>
    </cfRule>
    <cfRule type="cellIs" dxfId="65" priority="365" operator="equal">
      <formula>"Moderado"</formula>
    </cfRule>
    <cfRule type="cellIs" dxfId="64" priority="367" operator="equal">
      <formula>"Leve"</formula>
    </cfRule>
  </conditionalFormatting>
  <conditionalFormatting sqref="L16">
    <cfRule type="cellIs" dxfId="63" priority="47" operator="equal">
      <formula>"Moderado"</formula>
    </cfRule>
    <cfRule type="cellIs" dxfId="62" priority="45" operator="equal">
      <formula>"Catastrófico"</formula>
    </cfRule>
    <cfRule type="cellIs" dxfId="61" priority="46" operator="equal">
      <formula>"Mayor"</formula>
    </cfRule>
    <cfRule type="cellIs" dxfId="60" priority="49" operator="equal">
      <formula>"Leve"</formula>
    </cfRule>
    <cfRule type="cellIs" dxfId="59" priority="48" operator="equal">
      <formula>"Menor"</formula>
    </cfRule>
  </conditionalFormatting>
  <conditionalFormatting sqref="N10">
    <cfRule type="cellIs" dxfId="58" priority="360" operator="equal">
      <formula>"Alto"</formula>
    </cfRule>
    <cfRule type="cellIs" dxfId="57" priority="361" operator="equal">
      <formula>"Moderado"</formula>
    </cfRule>
    <cfRule type="cellIs" dxfId="56" priority="359" operator="equal">
      <formula>"Extremo"</formula>
    </cfRule>
    <cfRule type="cellIs" dxfId="55" priority="362" operator="equal">
      <formula>"Bajo"</formula>
    </cfRule>
  </conditionalFormatting>
  <conditionalFormatting sqref="N16">
    <cfRule type="cellIs" dxfId="54" priority="44" operator="equal">
      <formula>"Bajo"</formula>
    </cfRule>
    <cfRule type="cellIs" dxfId="53" priority="43" operator="equal">
      <formula>"Moderado"</formula>
    </cfRule>
    <cfRule type="cellIs" dxfId="52" priority="42" operator="equal">
      <formula>"Alto"</formula>
    </cfRule>
    <cfRule type="cellIs" dxfId="51" priority="41" operator="equal">
      <formula>"Extremo"</formula>
    </cfRule>
  </conditionalFormatting>
  <conditionalFormatting sqref="N22">
    <cfRule type="cellIs" dxfId="50" priority="261" operator="equal">
      <formula>"Extremo"</formula>
    </cfRule>
    <cfRule type="cellIs" dxfId="49" priority="262" operator="equal">
      <formula>"Alto"</formula>
    </cfRule>
    <cfRule type="cellIs" dxfId="48" priority="263" operator="equal">
      <formula>"Moderado"</formula>
    </cfRule>
    <cfRule type="cellIs" dxfId="47" priority="264" operator="equal">
      <formula>"Bajo"</formula>
    </cfRule>
  </conditionalFormatting>
  <conditionalFormatting sqref="N28">
    <cfRule type="cellIs" dxfId="46" priority="233" operator="equal">
      <formula>"Extremo"</formula>
    </cfRule>
    <cfRule type="cellIs" dxfId="45" priority="236" operator="equal">
      <formula>"Bajo"</formula>
    </cfRule>
    <cfRule type="cellIs" dxfId="44" priority="234" operator="equal">
      <formula>"Alto"</formula>
    </cfRule>
    <cfRule type="cellIs" dxfId="43" priority="235" operator="equal">
      <formula>"Moderado"</formula>
    </cfRule>
  </conditionalFormatting>
  <conditionalFormatting sqref="N33">
    <cfRule type="cellIs" dxfId="42" priority="208" operator="equal">
      <formula>"Bajo"</formula>
    </cfRule>
    <cfRule type="cellIs" dxfId="41" priority="207" operator="equal">
      <formula>"Moderado"</formula>
    </cfRule>
    <cfRule type="cellIs" dxfId="40" priority="205" operator="equal">
      <formula>"Extremo"</formula>
    </cfRule>
    <cfRule type="cellIs" dxfId="39" priority="206" operator="equal">
      <formula>"Alto"</formula>
    </cfRule>
  </conditionalFormatting>
  <conditionalFormatting sqref="N39">
    <cfRule type="cellIs" dxfId="38" priority="151" operator="equal">
      <formula>"Moderado"</formula>
    </cfRule>
    <cfRule type="cellIs" dxfId="37" priority="152" operator="equal">
      <formula>"Bajo"</formula>
    </cfRule>
    <cfRule type="cellIs" dxfId="36" priority="150" operator="equal">
      <formula>"Alto"</formula>
    </cfRule>
    <cfRule type="cellIs" dxfId="35" priority="149" operator="equal">
      <formula>"Extremo"</formula>
    </cfRule>
  </conditionalFormatting>
  <conditionalFormatting sqref="N45">
    <cfRule type="cellIs" dxfId="34" priority="121" operator="equal">
      <formula>"Extremo"</formula>
    </cfRule>
    <cfRule type="cellIs" dxfId="33" priority="122" operator="equal">
      <formula>"Alto"</formula>
    </cfRule>
    <cfRule type="cellIs" dxfId="32" priority="123" operator="equal">
      <formula>"Moderado"</formula>
    </cfRule>
    <cfRule type="cellIs" dxfId="31" priority="124" operator="equal">
      <formula>"Bajo"</formula>
    </cfRule>
  </conditionalFormatting>
  <conditionalFormatting sqref="N51">
    <cfRule type="cellIs" dxfId="30" priority="93" operator="equal">
      <formula>"Extremo"</formula>
    </cfRule>
    <cfRule type="cellIs" dxfId="29" priority="95" operator="equal">
      <formula>"Moderado"</formula>
    </cfRule>
    <cfRule type="cellIs" dxfId="28" priority="96" operator="equal">
      <formula>"Bajo"</formula>
    </cfRule>
    <cfRule type="cellIs" dxfId="27" priority="94" operator="equal">
      <formula>"Alto"</formula>
    </cfRule>
  </conditionalFormatting>
  <conditionalFormatting sqref="N57">
    <cfRule type="cellIs" dxfId="26" priority="68" operator="equal">
      <formula>"Bajo"</formula>
    </cfRule>
    <cfRule type="cellIs" dxfId="25" priority="67" operator="equal">
      <formula>"Moderado"</formula>
    </cfRule>
    <cfRule type="cellIs" dxfId="24" priority="66" operator="equal">
      <formula>"Alto"</formula>
    </cfRule>
    <cfRule type="cellIs" dxfId="23" priority="65" operator="equal">
      <formula>"Extremo"</formula>
    </cfRule>
  </conditionalFormatting>
  <conditionalFormatting sqref="Y10:Y62">
    <cfRule type="cellIs" dxfId="22" priority="6" operator="equal">
      <formula>"Muy Alta"</formula>
    </cfRule>
    <cfRule type="cellIs" dxfId="21" priority="7" operator="equal">
      <formula>"Alta"</formula>
    </cfRule>
    <cfRule type="cellIs" dxfId="20" priority="8" operator="equal">
      <formula>"Media"</formula>
    </cfRule>
    <cfRule type="cellIs" dxfId="19" priority="9" operator="equal">
      <formula>"Baja"</formula>
    </cfRule>
    <cfRule type="cellIs" dxfId="18" priority="10" operator="equal">
      <formula>"Muy Baja"</formula>
    </cfRule>
  </conditionalFormatting>
  <conditionalFormatting sqref="AA10:AA16">
    <cfRule type="cellIs" dxfId="17" priority="282" operator="equal">
      <formula>"Menor"</formula>
    </cfRule>
    <cfRule type="cellIs" dxfId="16" priority="279" operator="equal">
      <formula>"Catastrófico"</formula>
    </cfRule>
    <cfRule type="cellIs" dxfId="15" priority="280" operator="equal">
      <formula>"Mayor"</formula>
    </cfRule>
    <cfRule type="cellIs" dxfId="14" priority="281" operator="equal">
      <formula>"Moderado"</formula>
    </cfRule>
    <cfRule type="cellIs" dxfId="13" priority="283" operator="equal">
      <formula>"Leve"</formula>
    </cfRule>
  </conditionalFormatting>
  <conditionalFormatting sqref="AA17:AA20">
    <cfRule type="cellIs" dxfId="12" priority="24" operator="equal">
      <formula>"Extremo"</formula>
    </cfRule>
    <cfRule type="cellIs" dxfId="11" priority="25" operator="equal">
      <formula>"Alto"</formula>
    </cfRule>
    <cfRule type="cellIs" dxfId="10" priority="26" operator="equal">
      <formula>"Moderado"</formula>
    </cfRule>
    <cfRule type="cellIs" dxfId="9" priority="27" operator="equal">
      <formula>"Bajo"</formula>
    </cfRule>
  </conditionalFormatting>
  <conditionalFormatting sqref="AA21:AA62">
    <cfRule type="cellIs" dxfId="8" priority="59" operator="equal">
      <formula>"Leve"</formula>
    </cfRule>
    <cfRule type="cellIs" dxfId="7" priority="58" operator="equal">
      <formula>"Menor"</formula>
    </cfRule>
    <cfRule type="cellIs" dxfId="6" priority="57" operator="equal">
      <formula>"Moderado"</formula>
    </cfRule>
    <cfRule type="cellIs" dxfId="5" priority="56" operator="equal">
      <formula>"Mayor"</formula>
    </cfRule>
    <cfRule type="cellIs" dxfId="4" priority="55" operator="equal">
      <formula>"Catastrófico"</formula>
    </cfRule>
  </conditionalFormatting>
  <conditionalFormatting sqref="AC10:AC62">
    <cfRule type="cellIs" dxfId="3" priority="35" operator="equal">
      <formula>"Bajo"</formula>
    </cfRule>
    <cfRule type="cellIs" dxfId="2" priority="34" operator="equal">
      <formula>"Moderado"</formula>
    </cfRule>
    <cfRule type="cellIs" dxfId="1" priority="32" operator="equal">
      <formula>"Extremo"</formula>
    </cfRule>
    <cfRule type="cellIs" dxfId="0" priority="33" operator="equal">
      <formula>"Alto"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AJ13:AJ14 AJ10:AJ11 AJ28:AJ31 AJ33:AJ34 AJ36:AJ37 AJ39:AJ40 AJ42:AJ43 AJ22:AJ26 AJ45:AJ46 AJ48:AJ49 AJ51:AJ52 AJ54:AJ55 AJ57:AJ58 AJ60:AJ61 AJ16:AJ20</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AG10:AG62 AH24:AI25 AH16:AI20 AH28:AI29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AH10:AH15 AI22:AI23 AH26:AH27 AH21:AH23 AH30:AH62</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AI21 AI10:AI15 AI26:AI27 AI30:AI62</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AE10:AE62</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AF10:AF62</xm:sqref>
        </x14:dataValidation>
        <x14:dataValidation type="list" allowBlank="1" showInputMessage="1" showErrorMessage="1" xr:uid="{00000000-0002-0000-0100-000000000000}">
          <x14:formula1>
            <xm:f>'Tabla Valoración controles'!$D$4:$D$6</xm:f>
          </x14:formula1>
          <xm:sqref>R10:R62</xm:sqref>
        </x14:dataValidation>
        <x14:dataValidation type="list" allowBlank="1" showInputMessage="1" showErrorMessage="1" xr:uid="{00000000-0002-0000-0100-000001000000}">
          <x14:formula1>
            <xm:f>'Tabla Valoración controles'!$D$7:$D$8</xm:f>
          </x14:formula1>
          <xm:sqref>S10:S62</xm:sqref>
        </x14:dataValidation>
        <x14:dataValidation type="list" allowBlank="1" showInputMessage="1" showErrorMessage="1" xr:uid="{00000000-0002-0000-0100-000002000000}">
          <x14:formula1>
            <xm:f>'Tabla Valoración controles'!$D$9:$D$10</xm:f>
          </x14:formula1>
          <xm:sqref>U10:U62</xm:sqref>
        </x14:dataValidation>
        <x14:dataValidation type="list" allowBlank="1" showInputMessage="1" showErrorMessage="1" xr:uid="{00000000-0002-0000-0100-000003000000}">
          <x14:formula1>
            <xm:f>'Tabla Valoración controles'!$D$11:$D$12</xm:f>
          </x14:formula1>
          <xm:sqref>V10:V62</xm:sqref>
        </x14:dataValidation>
        <x14:dataValidation type="list" allowBlank="1" showInputMessage="1" showErrorMessage="1" xr:uid="{00000000-0002-0000-0100-000005000000}">
          <x14:formula1>
            <xm:f>'Tabla Valoración controles'!$D$13:$D$14</xm:f>
          </x14:formula1>
          <xm:sqref>W10:W62</xm:sqref>
        </x14:dataValidation>
        <x14:dataValidation type="list" allowBlank="1" showInputMessage="1" showErrorMessage="1" xr:uid="{00000000-0002-0000-0100-000006000000}">
          <x14:formula1>
            <xm:f>'Opciones Tratamiento'!$B$13:$B$19</xm:f>
          </x14:formula1>
          <xm:sqref>F10:F62</xm:sqref>
        </x14:dataValidation>
        <x14:dataValidation type="list" allowBlank="1" showInputMessage="1" showErrorMessage="1" xr:uid="{00000000-0002-0000-0100-000007000000}">
          <x14:formula1>
            <xm:f>'Opciones Tratamiento'!$E$2:$E$4</xm:f>
          </x14:formula1>
          <xm:sqref>B10:B62</xm:sqref>
        </x14:dataValidation>
        <x14:dataValidation type="list" allowBlank="1" showInputMessage="1" showErrorMessage="1" xr:uid="{00000000-0002-0000-0100-000008000000}">
          <x14:formula1>
            <xm:f>'Opciones Tratamiento'!$B$2:$B$5</xm:f>
          </x14:formula1>
          <xm:sqref>AD10:AD62</xm:sqref>
        </x14:dataValidation>
        <x14:dataValidation type="list" allowBlank="1" showInputMessage="1" showErrorMessage="1" xr:uid="{00000000-0002-0000-0100-000009000000}">
          <x14:formula1>
            <xm:f>'Tabla Impacto'!$F$210:$F$221</xm:f>
          </x14:formula1>
          <xm:sqref>J10:J62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M248"/>
  <sheetViews>
    <sheetView zoomScale="50" zoomScaleNormal="50" workbookViewId="0">
      <selection activeCell="AD39" sqref="AD3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291" t="s">
        <v>160</v>
      </c>
      <c r="C2" s="292"/>
      <c r="D2" s="292"/>
      <c r="E2" s="292"/>
      <c r="F2" s="292"/>
      <c r="G2" s="292"/>
      <c r="H2" s="292"/>
      <c r="I2" s="292"/>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292"/>
      <c r="C3" s="292"/>
      <c r="D3" s="292"/>
      <c r="E3" s="292"/>
      <c r="F3" s="292"/>
      <c r="G3" s="292"/>
      <c r="H3" s="292"/>
      <c r="I3" s="29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292"/>
      <c r="C4" s="292"/>
      <c r="D4" s="292"/>
      <c r="E4" s="292"/>
      <c r="F4" s="292"/>
      <c r="G4" s="292"/>
      <c r="H4" s="292"/>
      <c r="I4" s="292"/>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294" t="s">
        <v>4</v>
      </c>
      <c r="C6" s="294"/>
      <c r="D6" s="295"/>
      <c r="E6" s="262" t="s">
        <v>116</v>
      </c>
      <c r="F6" s="263"/>
      <c r="G6" s="263"/>
      <c r="H6" s="263"/>
      <c r="I6" s="264"/>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282" t="s">
        <v>79</v>
      </c>
      <c r="AP6" s="283"/>
      <c r="AQ6" s="283"/>
      <c r="AR6" s="283"/>
      <c r="AS6" s="283"/>
      <c r="AT6" s="284"/>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294"/>
      <c r="C7" s="294"/>
      <c r="D7" s="295"/>
      <c r="E7" s="265"/>
      <c r="F7" s="266"/>
      <c r="G7" s="266"/>
      <c r="H7" s="266"/>
      <c r="I7" s="267"/>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80"/>
      <c r="AO7" s="285"/>
      <c r="AP7" s="286"/>
      <c r="AQ7" s="286"/>
      <c r="AR7" s="286"/>
      <c r="AS7" s="286"/>
      <c r="AT7" s="287"/>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294"/>
      <c r="C8" s="294"/>
      <c r="D8" s="295"/>
      <c r="E8" s="265"/>
      <c r="F8" s="266"/>
      <c r="G8" s="266"/>
      <c r="H8" s="266"/>
      <c r="I8" s="267"/>
      <c r="J8" s="49" t="str">
        <f>IF(AND('Mapa final'!$Y$22="Muy Alta",'Mapa final'!$AA$22="Leve"),CONCATENATE("R3C",'Mapa final'!$O$22),"")</f>
        <v/>
      </c>
      <c r="K8" s="50" t="str">
        <f>IF(AND('Mapa final'!$Y$23="Muy Alta",'Mapa final'!$AA$23="Leve"),CONCATENATE("R3C",'Mapa final'!$O$23),"")</f>
        <v/>
      </c>
      <c r="L8" s="50" t="str">
        <f>IF(AND('Mapa final'!$Y$24="Muy Alta",'Mapa final'!$AA$24="Leve"),CONCATENATE("R3C",'Mapa final'!$O$24),"")</f>
        <v/>
      </c>
      <c r="M8" s="50" t="str">
        <f>IF(AND('Mapa final'!$Y$25="Muy Alta",'Mapa final'!$AA$25="Leve"),CONCATENATE("R3C",'Mapa final'!$O$25),"")</f>
        <v/>
      </c>
      <c r="N8" s="50" t="str">
        <f>IF(AND('Mapa final'!$Y$26="Muy Alta",'Mapa final'!$AA$26="Leve"),CONCATENATE("R3C",'Mapa final'!$O$26),"")</f>
        <v/>
      </c>
      <c r="O8" s="51" t="str">
        <f>IF(AND('Mapa final'!$Y$27="Muy Alta",'Mapa final'!$AA$27="Leve"),CONCATENATE("R3C",'Mapa final'!$O$27),"")</f>
        <v/>
      </c>
      <c r="P8" s="49" t="str">
        <f>IF(AND('Mapa final'!$Y$22="Muy Alta",'Mapa final'!$AA$22="Menor"),CONCATENATE("R3C",'Mapa final'!$O$22),"")</f>
        <v/>
      </c>
      <c r="Q8" s="50" t="str">
        <f>IF(AND('Mapa final'!$Y$23="Muy Alta",'Mapa final'!$AA$23="Menor"),CONCATENATE("R3C",'Mapa final'!$O$23),"")</f>
        <v/>
      </c>
      <c r="R8" s="50" t="str">
        <f>IF(AND('Mapa final'!$Y$24="Muy Alta",'Mapa final'!$AA$24="Menor"),CONCATENATE("R3C",'Mapa final'!$O$24),"")</f>
        <v/>
      </c>
      <c r="S8" s="50" t="str">
        <f>IF(AND('Mapa final'!$Y$25="Muy Alta",'Mapa final'!$AA$25="Menor"),CONCATENATE("R3C",'Mapa final'!$O$25),"")</f>
        <v/>
      </c>
      <c r="T8" s="50" t="str">
        <f>IF(AND('Mapa final'!$Y$26="Muy Alta",'Mapa final'!$AA$26="Menor"),CONCATENATE("R3C",'Mapa final'!$O$26),"")</f>
        <v/>
      </c>
      <c r="U8" s="51" t="str">
        <f>IF(AND('Mapa final'!$Y$27="Muy Alta",'Mapa final'!$AA$27="Menor"),CONCATENATE("R3C",'Mapa final'!$O$27),"")</f>
        <v/>
      </c>
      <c r="V8" s="49" t="str">
        <f>IF(AND('Mapa final'!$Y$22="Muy Alta",'Mapa final'!$AA$22="Moderado"),CONCATENATE("R3C",'Mapa final'!$O$22),"")</f>
        <v/>
      </c>
      <c r="W8" s="50" t="str">
        <f>IF(AND('Mapa final'!$Y$23="Muy Alta",'Mapa final'!$AA$23="Moderado"),CONCATENATE("R3C",'Mapa final'!$O$23),"")</f>
        <v/>
      </c>
      <c r="X8" s="50" t="str">
        <f>IF(AND('Mapa final'!$Y$24="Muy Alta",'Mapa final'!$AA$24="Moderado"),CONCATENATE("R3C",'Mapa final'!$O$24),"")</f>
        <v/>
      </c>
      <c r="Y8" s="50" t="str">
        <f>IF(AND('Mapa final'!$Y$25="Muy Alta",'Mapa final'!$AA$25="Moderado"),CONCATENATE("R3C",'Mapa final'!$O$25),"")</f>
        <v/>
      </c>
      <c r="Z8" s="50" t="str">
        <f>IF(AND('Mapa final'!$Y$26="Muy Alta",'Mapa final'!$AA$26="Moderado"),CONCATENATE("R3C",'Mapa final'!$O$26),"")</f>
        <v/>
      </c>
      <c r="AA8" s="51" t="str">
        <f>IF(AND('Mapa final'!$Y$27="Muy Alta",'Mapa final'!$AA$27="Moderado"),CONCATENATE("R3C",'Mapa final'!$O$27),"")</f>
        <v/>
      </c>
      <c r="AB8" s="49" t="str">
        <f>IF(AND('Mapa final'!$Y$22="Muy Alta",'Mapa final'!$AA$22="Mayor"),CONCATENATE("R3C",'Mapa final'!$O$22),"")</f>
        <v/>
      </c>
      <c r="AC8" s="50" t="str">
        <f>IF(AND('Mapa final'!$Y$23="Muy Alta",'Mapa final'!$AA$23="Mayor"),CONCATENATE("R3C",'Mapa final'!$O$23),"")</f>
        <v/>
      </c>
      <c r="AD8" s="50" t="str">
        <f>IF(AND('Mapa final'!$Y$24="Muy Alta",'Mapa final'!$AA$24="Mayor"),CONCATENATE("R3C",'Mapa final'!$O$24),"")</f>
        <v/>
      </c>
      <c r="AE8" s="50" t="str">
        <f>IF(AND('Mapa final'!$Y$25="Muy Alta",'Mapa final'!$AA$25="Mayor"),CONCATENATE("R3C",'Mapa final'!$O$25),"")</f>
        <v/>
      </c>
      <c r="AF8" s="50" t="str">
        <f>IF(AND('Mapa final'!$Y$26="Muy Alta",'Mapa final'!$AA$26="Mayor"),CONCATENATE("R3C",'Mapa final'!$O$26),"")</f>
        <v/>
      </c>
      <c r="AG8" s="51" t="str">
        <f>IF(AND('Mapa final'!$Y$27="Muy Alta",'Mapa final'!$AA$27="Mayor"),CONCATENATE("R3C",'Mapa final'!$O$27),"")</f>
        <v/>
      </c>
      <c r="AH8" s="52" t="str">
        <f>IF(AND('Mapa final'!$Y$22="Muy Alta",'Mapa final'!$AA$22="Catastrófico"),CONCATENATE("R3C",'Mapa final'!$O$22),"")</f>
        <v/>
      </c>
      <c r="AI8" s="53" t="str">
        <f>IF(AND('Mapa final'!$Y$23="Muy Alta",'Mapa final'!$AA$23="Catastrófico"),CONCATENATE("R3C",'Mapa final'!$O$23),"")</f>
        <v/>
      </c>
      <c r="AJ8" s="53" t="str">
        <f>IF(AND('Mapa final'!$Y$24="Muy Alta",'Mapa final'!$AA$24="Catastrófico"),CONCATENATE("R3C",'Mapa final'!$O$24),"")</f>
        <v/>
      </c>
      <c r="AK8" s="53" t="str">
        <f>IF(AND('Mapa final'!$Y$25="Muy Alta",'Mapa final'!$AA$25="Catastrófico"),CONCATENATE("R3C",'Mapa final'!$O$25),"")</f>
        <v/>
      </c>
      <c r="AL8" s="53" t="str">
        <f>IF(AND('Mapa final'!$Y$26="Muy Alta",'Mapa final'!$AA$26="Catastrófico"),CONCATENATE("R3C",'Mapa final'!$O$26),"")</f>
        <v/>
      </c>
      <c r="AM8" s="54" t="str">
        <f>IF(AND('Mapa final'!$Y$27="Muy Alta",'Mapa final'!$AA$27="Catastrófico"),CONCATENATE("R3C",'Mapa final'!$O$27),"")</f>
        <v/>
      </c>
      <c r="AN8" s="80"/>
      <c r="AO8" s="285"/>
      <c r="AP8" s="286"/>
      <c r="AQ8" s="286"/>
      <c r="AR8" s="286"/>
      <c r="AS8" s="286"/>
      <c r="AT8" s="287"/>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294"/>
      <c r="C9" s="294"/>
      <c r="D9" s="295"/>
      <c r="E9" s="265"/>
      <c r="F9" s="266"/>
      <c r="G9" s="266"/>
      <c r="H9" s="266"/>
      <c r="I9" s="267"/>
      <c r="J9" s="49" t="str">
        <f>IF(AND('Mapa final'!$Y$28="Muy Alta",'Mapa final'!$AA$28="Leve"),CONCATENATE("R4C",'Mapa final'!$O$28),"")</f>
        <v/>
      </c>
      <c r="K9" s="50" t="e">
        <f>IF(AND('Mapa final'!#REF!="Muy Alta",'Mapa final'!#REF!="Leve"),CONCATENATE("R4C",'Mapa final'!#REF!),"")</f>
        <v>#REF!</v>
      </c>
      <c r="L9" s="50" t="str">
        <f>IF(AND('Mapa final'!$Y$29="Muy Alta",'Mapa final'!$AA$29="Leve"),CONCATENATE("R4C",'Mapa final'!$O$29),"")</f>
        <v/>
      </c>
      <c r="M9" s="50" t="str">
        <f>IF(AND('Mapa final'!$Y$30="Muy Alta",'Mapa final'!$AA$30="Leve"),CONCATENATE("R4C",'Mapa final'!$O$30),"")</f>
        <v/>
      </c>
      <c r="N9" s="50" t="str">
        <f>IF(AND('Mapa final'!$Y$31="Muy Alta",'Mapa final'!$AA$31="Leve"),CONCATENATE("R4C",'Mapa final'!$O$31),"")</f>
        <v/>
      </c>
      <c r="O9" s="51" t="str">
        <f>IF(AND('Mapa final'!$Y$32="Muy Alta",'Mapa final'!$AA$32="Leve"),CONCATENATE("R4C",'Mapa final'!$O$32),"")</f>
        <v/>
      </c>
      <c r="P9" s="49" t="str">
        <f>IF(AND('Mapa final'!$Y$28="Muy Alta",'Mapa final'!$AA$28="Menor"),CONCATENATE("R4C",'Mapa final'!$O$28),"")</f>
        <v/>
      </c>
      <c r="Q9" s="50" t="e">
        <f>IF(AND('Mapa final'!#REF!="Muy Alta",'Mapa final'!#REF!="Menor"),CONCATENATE("R4C",'Mapa final'!#REF!),"")</f>
        <v>#REF!</v>
      </c>
      <c r="R9" s="50" t="str">
        <f>IF(AND('Mapa final'!$Y$29="Muy Alta",'Mapa final'!$AA$29="Menor"),CONCATENATE("R4C",'Mapa final'!$O$29),"")</f>
        <v/>
      </c>
      <c r="S9" s="50" t="str">
        <f>IF(AND('Mapa final'!$Y$30="Muy Alta",'Mapa final'!$AA$30="Menor"),CONCATENATE("R4C",'Mapa final'!$O$30),"")</f>
        <v/>
      </c>
      <c r="T9" s="50" t="str">
        <f>IF(AND('Mapa final'!$Y$31="Muy Alta",'Mapa final'!$AA$31="Menor"),CONCATENATE("R4C",'Mapa final'!$O$31),"")</f>
        <v/>
      </c>
      <c r="U9" s="51" t="str">
        <f>IF(AND('Mapa final'!$Y$32="Muy Alta",'Mapa final'!$AA$32="Menor"),CONCATENATE("R4C",'Mapa final'!$O$32),"")</f>
        <v/>
      </c>
      <c r="V9" s="49" t="str">
        <f>IF(AND('Mapa final'!$Y$28="Muy Alta",'Mapa final'!$AA$28="Moderado"),CONCATENATE("R4C",'Mapa final'!$O$28),"")</f>
        <v/>
      </c>
      <c r="W9" s="50" t="e">
        <f>IF(AND('Mapa final'!#REF!="Muy Alta",'Mapa final'!#REF!="Moderado"),CONCATENATE("R4C",'Mapa final'!#REF!),"")</f>
        <v>#REF!</v>
      </c>
      <c r="X9" s="50" t="str">
        <f>IF(AND('Mapa final'!$Y$29="Muy Alta",'Mapa final'!$AA$29="Moderado"),CONCATENATE("R4C",'Mapa final'!$O$29),"")</f>
        <v/>
      </c>
      <c r="Y9" s="50" t="str">
        <f>IF(AND('Mapa final'!$Y$30="Muy Alta",'Mapa final'!$AA$30="Moderado"),CONCATENATE("R4C",'Mapa final'!$O$30),"")</f>
        <v/>
      </c>
      <c r="Z9" s="50" t="str">
        <f>IF(AND('Mapa final'!$Y$31="Muy Alta",'Mapa final'!$AA$31="Moderado"),CONCATENATE("R4C",'Mapa final'!$O$31),"")</f>
        <v/>
      </c>
      <c r="AA9" s="51" t="str">
        <f>IF(AND('Mapa final'!$Y$32="Muy Alta",'Mapa final'!$AA$32="Moderado"),CONCATENATE("R4C",'Mapa final'!$O$32),"")</f>
        <v/>
      </c>
      <c r="AB9" s="49" t="str">
        <f>IF(AND('Mapa final'!$Y$28="Muy Alta",'Mapa final'!$AA$28="Mayor"),CONCATENATE("R4C",'Mapa final'!$O$28),"")</f>
        <v/>
      </c>
      <c r="AC9" s="50" t="e">
        <f>IF(AND('Mapa final'!#REF!="Muy Alta",'Mapa final'!#REF!="Mayor"),CONCATENATE("R4C",'Mapa final'!#REF!),"")</f>
        <v>#REF!</v>
      </c>
      <c r="AD9" s="50" t="str">
        <f>IF(AND('Mapa final'!$Y$29="Muy Alta",'Mapa final'!$AA$29="Mayor"),CONCATENATE("R4C",'Mapa final'!$O$29),"")</f>
        <v/>
      </c>
      <c r="AE9" s="50" t="str">
        <f>IF(AND('Mapa final'!$Y$30="Muy Alta",'Mapa final'!$AA$30="Mayor"),CONCATENATE("R4C",'Mapa final'!$O$30),"")</f>
        <v/>
      </c>
      <c r="AF9" s="50" t="str">
        <f>IF(AND('Mapa final'!$Y$31="Muy Alta",'Mapa final'!$AA$31="Mayor"),CONCATENATE("R4C",'Mapa final'!$O$31),"")</f>
        <v/>
      </c>
      <c r="AG9" s="51" t="str">
        <f>IF(AND('Mapa final'!$Y$32="Muy Alta",'Mapa final'!$AA$32="Mayor"),CONCATENATE("R4C",'Mapa final'!$O$32),"")</f>
        <v/>
      </c>
      <c r="AH9" s="52" t="str">
        <f>IF(AND('Mapa final'!$Y$28="Muy Alta",'Mapa final'!$AA$28="Catastrófico"),CONCATENATE("R4C",'Mapa final'!$O$28),"")</f>
        <v/>
      </c>
      <c r="AI9" s="53" t="e">
        <f>IF(AND('Mapa final'!#REF!="Muy Alta",'Mapa final'!#REF!="Catastrófico"),CONCATENATE("R4C",'Mapa final'!#REF!),"")</f>
        <v>#REF!</v>
      </c>
      <c r="AJ9" s="53" t="str">
        <f>IF(AND('Mapa final'!$Y$29="Muy Alta",'Mapa final'!$AA$29="Catastrófico"),CONCATENATE("R4C",'Mapa final'!$O$29),"")</f>
        <v/>
      </c>
      <c r="AK9" s="53" t="str">
        <f>IF(AND('Mapa final'!$Y$30="Muy Alta",'Mapa final'!$AA$30="Catastrófico"),CONCATENATE("R4C",'Mapa final'!$O$30),"")</f>
        <v/>
      </c>
      <c r="AL9" s="53" t="str">
        <f>IF(AND('Mapa final'!$Y$31="Muy Alta",'Mapa final'!$AA$31="Catastrófico"),CONCATENATE("R4C",'Mapa final'!$O$31),"")</f>
        <v/>
      </c>
      <c r="AM9" s="54" t="str">
        <f>IF(AND('Mapa final'!$Y$32="Muy Alta",'Mapa final'!$AA$32="Catastrófico"),CONCATENATE("R4C",'Mapa final'!$O$32),"")</f>
        <v/>
      </c>
      <c r="AN9" s="80"/>
      <c r="AO9" s="285"/>
      <c r="AP9" s="286"/>
      <c r="AQ9" s="286"/>
      <c r="AR9" s="286"/>
      <c r="AS9" s="286"/>
      <c r="AT9" s="287"/>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294"/>
      <c r="C10" s="294"/>
      <c r="D10" s="295"/>
      <c r="E10" s="265"/>
      <c r="F10" s="266"/>
      <c r="G10" s="266"/>
      <c r="H10" s="266"/>
      <c r="I10" s="267"/>
      <c r="J10" s="49" t="str">
        <f>IF(AND('Mapa final'!$Y$33="Muy Alta",'Mapa final'!$AA$33="Leve"),CONCATENATE("R5C",'Mapa final'!$O$33),"")</f>
        <v/>
      </c>
      <c r="K10" s="50" t="str">
        <f>IF(AND('Mapa final'!$Y$34="Muy Alta",'Mapa final'!$AA$34="Leve"),CONCATENATE("R5C",'Mapa final'!$O$34),"")</f>
        <v/>
      </c>
      <c r="L10" s="50" t="str">
        <f>IF(AND('Mapa final'!$Y$35="Muy Alta",'Mapa final'!$AA$35="Leve"),CONCATENATE("R5C",'Mapa final'!$O$35),"")</f>
        <v/>
      </c>
      <c r="M10" s="50" t="str">
        <f>IF(AND('Mapa final'!$Y$36="Muy Alta",'Mapa final'!$AA$36="Leve"),CONCATENATE("R5C",'Mapa final'!$O$36),"")</f>
        <v/>
      </c>
      <c r="N10" s="50" t="str">
        <f>IF(AND('Mapa final'!$Y$37="Muy Alta",'Mapa final'!$AA$37="Leve"),CONCATENATE("R5C",'Mapa final'!$O$37),"")</f>
        <v/>
      </c>
      <c r="O10" s="51" t="str">
        <f>IF(AND('Mapa final'!$Y$38="Muy Alta",'Mapa final'!$AA$38="Leve"),CONCATENATE("R5C",'Mapa final'!$O$38),"")</f>
        <v/>
      </c>
      <c r="P10" s="49" t="str">
        <f>IF(AND('Mapa final'!$Y$33="Muy Alta",'Mapa final'!$AA$33="Menor"),CONCATENATE("R5C",'Mapa final'!$O$33),"")</f>
        <v/>
      </c>
      <c r="Q10" s="50" t="str">
        <f>IF(AND('Mapa final'!$Y$34="Muy Alta",'Mapa final'!$AA$34="Menor"),CONCATENATE("R5C",'Mapa final'!$O$34),"")</f>
        <v/>
      </c>
      <c r="R10" s="50" t="str">
        <f>IF(AND('Mapa final'!$Y$35="Muy Alta",'Mapa final'!$AA$35="Menor"),CONCATENATE("R5C",'Mapa final'!$O$35),"")</f>
        <v/>
      </c>
      <c r="S10" s="50" t="str">
        <f>IF(AND('Mapa final'!$Y$36="Muy Alta",'Mapa final'!$AA$36="Menor"),CONCATENATE("R5C",'Mapa final'!$O$36),"")</f>
        <v/>
      </c>
      <c r="T10" s="50" t="str">
        <f>IF(AND('Mapa final'!$Y$37="Muy Alta",'Mapa final'!$AA$37="Menor"),CONCATENATE("R5C",'Mapa final'!$O$37),"")</f>
        <v/>
      </c>
      <c r="U10" s="51" t="str">
        <f>IF(AND('Mapa final'!$Y$38="Muy Alta",'Mapa final'!$AA$38="Menor"),CONCATENATE("R5C",'Mapa final'!$O$38),"")</f>
        <v/>
      </c>
      <c r="V10" s="49" t="str">
        <f>IF(AND('Mapa final'!$Y$33="Muy Alta",'Mapa final'!$AA$33="Moderado"),CONCATENATE("R5C",'Mapa final'!$O$33),"")</f>
        <v/>
      </c>
      <c r="W10" s="50" t="str">
        <f>IF(AND('Mapa final'!$Y$34="Muy Alta",'Mapa final'!$AA$34="Moderado"),CONCATENATE("R5C",'Mapa final'!$O$34),"")</f>
        <v/>
      </c>
      <c r="X10" s="50" t="str">
        <f>IF(AND('Mapa final'!$Y$35="Muy Alta",'Mapa final'!$AA$35="Moderado"),CONCATENATE("R5C",'Mapa final'!$O$35),"")</f>
        <v/>
      </c>
      <c r="Y10" s="50" t="str">
        <f>IF(AND('Mapa final'!$Y$36="Muy Alta",'Mapa final'!$AA$36="Moderado"),CONCATENATE("R5C",'Mapa final'!$O$36),"")</f>
        <v/>
      </c>
      <c r="Z10" s="50" t="str">
        <f>IF(AND('Mapa final'!$Y$37="Muy Alta",'Mapa final'!$AA$37="Moderado"),CONCATENATE("R5C",'Mapa final'!$O$37),"")</f>
        <v/>
      </c>
      <c r="AA10" s="51" t="str">
        <f>IF(AND('Mapa final'!$Y$38="Muy Alta",'Mapa final'!$AA$38="Moderado"),CONCATENATE("R5C",'Mapa final'!$O$38),"")</f>
        <v/>
      </c>
      <c r="AB10" s="49" t="str">
        <f>IF(AND('Mapa final'!$Y$33="Muy Alta",'Mapa final'!$AA$33="Mayor"),CONCATENATE("R5C",'Mapa final'!$O$33),"")</f>
        <v/>
      </c>
      <c r="AC10" s="50" t="str">
        <f>IF(AND('Mapa final'!$Y$34="Muy Alta",'Mapa final'!$AA$34="Mayor"),CONCATENATE("R5C",'Mapa final'!$O$34),"")</f>
        <v/>
      </c>
      <c r="AD10" s="50" t="str">
        <f>IF(AND('Mapa final'!$Y$35="Muy Alta",'Mapa final'!$AA$35="Mayor"),CONCATENATE("R5C",'Mapa final'!$O$35),"")</f>
        <v/>
      </c>
      <c r="AE10" s="50" t="str">
        <f>IF(AND('Mapa final'!$Y$36="Muy Alta",'Mapa final'!$AA$36="Mayor"),CONCATENATE("R5C",'Mapa final'!$O$36),"")</f>
        <v/>
      </c>
      <c r="AF10" s="50" t="str">
        <f>IF(AND('Mapa final'!$Y$37="Muy Alta",'Mapa final'!$AA$37="Mayor"),CONCATENATE("R5C",'Mapa final'!$O$37),"")</f>
        <v/>
      </c>
      <c r="AG10" s="51" t="str">
        <f>IF(AND('Mapa final'!$Y$38="Muy Alta",'Mapa final'!$AA$38="Mayor"),CONCATENATE("R5C",'Mapa final'!$O$38),"")</f>
        <v/>
      </c>
      <c r="AH10" s="52" t="str">
        <f>IF(AND('Mapa final'!$Y$33="Muy Alta",'Mapa final'!$AA$33="Catastrófico"),CONCATENATE("R5C",'Mapa final'!$O$33),"")</f>
        <v/>
      </c>
      <c r="AI10" s="53" t="str">
        <f>IF(AND('Mapa final'!$Y$34="Muy Alta",'Mapa final'!$AA$34="Catastrófico"),CONCATENATE("R5C",'Mapa final'!$O$34),"")</f>
        <v/>
      </c>
      <c r="AJ10" s="53" t="str">
        <f>IF(AND('Mapa final'!$Y$35="Muy Alta",'Mapa final'!$AA$35="Catastrófico"),CONCATENATE("R5C",'Mapa final'!$O$35),"")</f>
        <v/>
      </c>
      <c r="AK10" s="53" t="str">
        <f>IF(AND('Mapa final'!$Y$36="Muy Alta",'Mapa final'!$AA$36="Catastrófico"),CONCATENATE("R5C",'Mapa final'!$O$36),"")</f>
        <v/>
      </c>
      <c r="AL10" s="53" t="str">
        <f>IF(AND('Mapa final'!$Y$37="Muy Alta",'Mapa final'!$AA$37="Catastrófico"),CONCATENATE("R5C",'Mapa final'!$O$37),"")</f>
        <v/>
      </c>
      <c r="AM10" s="54" t="str">
        <f>IF(AND('Mapa final'!$Y$38="Muy Alta",'Mapa final'!$AA$38="Catastrófico"),CONCATENATE("R5C",'Mapa final'!$O$38),"")</f>
        <v/>
      </c>
      <c r="AN10" s="80"/>
      <c r="AO10" s="285"/>
      <c r="AP10" s="286"/>
      <c r="AQ10" s="286"/>
      <c r="AR10" s="286"/>
      <c r="AS10" s="286"/>
      <c r="AT10" s="287"/>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294"/>
      <c r="C11" s="294"/>
      <c r="D11" s="295"/>
      <c r="E11" s="265"/>
      <c r="F11" s="266"/>
      <c r="G11" s="266"/>
      <c r="H11" s="266"/>
      <c r="I11" s="267"/>
      <c r="J11" s="49" t="e">
        <f>IF(AND('Mapa final'!#REF!="Muy Alta",'Mapa final'!#REF!="Leve"),CONCATENATE("R6C",'Mapa final'!#REF!),"")</f>
        <v>#REF!</v>
      </c>
      <c r="K11" s="50" t="e">
        <f>IF(AND('Mapa final'!#REF!="Muy Alta",'Mapa final'!#REF!="Leve"),CONCATENATE("R6C",'Mapa final'!#REF!),"")</f>
        <v>#REF!</v>
      </c>
      <c r="L11" s="50" t="e">
        <f>IF(AND('Mapa final'!#REF!="Muy Alta",'Mapa final'!#REF!="Leve"),CONCATENATE("R6C",'Mapa final'!#REF!),"")</f>
        <v>#REF!</v>
      </c>
      <c r="M11" s="50" t="e">
        <f>IF(AND('Mapa final'!#REF!="Muy Alta",'Mapa final'!#REF!="Leve"),CONCATENATE("R6C",'Mapa final'!#REF!),"")</f>
        <v>#REF!</v>
      </c>
      <c r="N11" s="50" t="e">
        <f>IF(AND('Mapa final'!#REF!="Muy Alta",'Mapa final'!#REF!="Leve"),CONCATENATE("R6C",'Mapa final'!#REF!),"")</f>
        <v>#REF!</v>
      </c>
      <c r="O11" s="51" t="e">
        <f>IF(AND('Mapa final'!#REF!="Muy Alta",'Mapa final'!#REF!="Leve"),CONCATENATE("R6C",'Mapa final'!#REF!),"")</f>
        <v>#REF!</v>
      </c>
      <c r="P11" s="49" t="e">
        <f>IF(AND('Mapa final'!#REF!="Muy Alta",'Mapa final'!#REF!="Menor"),CONCATENATE("R6C",'Mapa final'!#REF!),"")</f>
        <v>#REF!</v>
      </c>
      <c r="Q11" s="50" t="e">
        <f>IF(AND('Mapa final'!#REF!="Muy Alta",'Mapa final'!#REF!="Menor"),CONCATENATE("R6C",'Mapa final'!#REF!),"")</f>
        <v>#REF!</v>
      </c>
      <c r="R11" s="50" t="e">
        <f>IF(AND('Mapa final'!#REF!="Muy Alta",'Mapa final'!#REF!="Menor"),CONCATENATE("R6C",'Mapa final'!#REF!),"")</f>
        <v>#REF!</v>
      </c>
      <c r="S11" s="50" t="e">
        <f>IF(AND('Mapa final'!#REF!="Muy Alta",'Mapa final'!#REF!="Menor"),CONCATENATE("R6C",'Mapa final'!#REF!),"")</f>
        <v>#REF!</v>
      </c>
      <c r="T11" s="50" t="e">
        <f>IF(AND('Mapa final'!#REF!="Muy Alta",'Mapa final'!#REF!="Menor"),CONCATENATE("R6C",'Mapa final'!#REF!),"")</f>
        <v>#REF!</v>
      </c>
      <c r="U11" s="51" t="e">
        <f>IF(AND('Mapa final'!#REF!="Muy Alta",'Mapa final'!#REF!="Menor"),CONCATENATE("R6C",'Mapa final'!#REF!),"")</f>
        <v>#REF!</v>
      </c>
      <c r="V11" s="49" t="e">
        <f>IF(AND('Mapa final'!#REF!="Muy Alta",'Mapa final'!#REF!="Moderado"),CONCATENATE("R6C",'Mapa final'!#REF!),"")</f>
        <v>#REF!</v>
      </c>
      <c r="W11" s="50" t="e">
        <f>IF(AND('Mapa final'!#REF!="Muy Alta",'Mapa final'!#REF!="Moderado"),CONCATENATE("R6C",'Mapa final'!#REF!),"")</f>
        <v>#REF!</v>
      </c>
      <c r="X11" s="50" t="e">
        <f>IF(AND('Mapa final'!#REF!="Muy Alta",'Mapa final'!#REF!="Moderado"),CONCATENATE("R6C",'Mapa final'!#REF!),"")</f>
        <v>#REF!</v>
      </c>
      <c r="Y11" s="50" t="e">
        <f>IF(AND('Mapa final'!#REF!="Muy Alta",'Mapa final'!#REF!="Moderado"),CONCATENATE("R6C",'Mapa final'!#REF!),"")</f>
        <v>#REF!</v>
      </c>
      <c r="Z11" s="50" t="e">
        <f>IF(AND('Mapa final'!#REF!="Muy Alta",'Mapa final'!#REF!="Moderado"),CONCATENATE("R6C",'Mapa final'!#REF!),"")</f>
        <v>#REF!</v>
      </c>
      <c r="AA11" s="51" t="e">
        <f>IF(AND('Mapa final'!#REF!="Muy Alta",'Mapa final'!#REF!="Moderado"),CONCATENATE("R6C",'Mapa final'!#REF!),"")</f>
        <v>#REF!</v>
      </c>
      <c r="AB11" s="49" t="e">
        <f>IF(AND('Mapa final'!#REF!="Muy Alta",'Mapa final'!#REF!="Mayor"),CONCATENATE("R6C",'Mapa final'!#REF!),"")</f>
        <v>#REF!</v>
      </c>
      <c r="AC11" s="50" t="e">
        <f>IF(AND('Mapa final'!#REF!="Muy Alta",'Mapa final'!#REF!="Mayor"),CONCATENATE("R6C",'Mapa final'!#REF!),"")</f>
        <v>#REF!</v>
      </c>
      <c r="AD11" s="50" t="e">
        <f>IF(AND('Mapa final'!#REF!="Muy Alta",'Mapa final'!#REF!="Mayor"),CONCATENATE("R6C",'Mapa final'!#REF!),"")</f>
        <v>#REF!</v>
      </c>
      <c r="AE11" s="50" t="e">
        <f>IF(AND('Mapa final'!#REF!="Muy Alta",'Mapa final'!#REF!="Mayor"),CONCATENATE("R6C",'Mapa final'!#REF!),"")</f>
        <v>#REF!</v>
      </c>
      <c r="AF11" s="50" t="e">
        <f>IF(AND('Mapa final'!#REF!="Muy Alta",'Mapa final'!#REF!="Mayor"),CONCATENATE("R6C",'Mapa final'!#REF!),"")</f>
        <v>#REF!</v>
      </c>
      <c r="AG11" s="51" t="e">
        <f>IF(AND('Mapa final'!#REF!="Muy Alta",'Mapa final'!#REF!="Mayor"),CONCATENATE("R6C",'Mapa final'!#REF!),"")</f>
        <v>#REF!</v>
      </c>
      <c r="AH11" s="52" t="e">
        <f>IF(AND('Mapa final'!#REF!="Muy Alta",'Mapa final'!#REF!="Catastrófico"),CONCATENATE("R6C",'Mapa final'!#REF!),"")</f>
        <v>#REF!</v>
      </c>
      <c r="AI11" s="53" t="e">
        <f>IF(AND('Mapa final'!#REF!="Muy Alta",'Mapa final'!#REF!="Catastrófico"),CONCATENATE("R6C",'Mapa final'!#REF!),"")</f>
        <v>#REF!</v>
      </c>
      <c r="AJ11" s="53" t="e">
        <f>IF(AND('Mapa final'!#REF!="Muy Alta",'Mapa final'!#REF!="Catastrófico"),CONCATENATE("R6C",'Mapa final'!#REF!),"")</f>
        <v>#REF!</v>
      </c>
      <c r="AK11" s="53" t="e">
        <f>IF(AND('Mapa final'!#REF!="Muy Alta",'Mapa final'!#REF!="Catastrófico"),CONCATENATE("R6C",'Mapa final'!#REF!),"")</f>
        <v>#REF!</v>
      </c>
      <c r="AL11" s="53" t="e">
        <f>IF(AND('Mapa final'!#REF!="Muy Alta",'Mapa final'!#REF!="Catastrófico"),CONCATENATE("R6C",'Mapa final'!#REF!),"")</f>
        <v>#REF!</v>
      </c>
      <c r="AM11" s="54" t="e">
        <f>IF(AND('Mapa final'!#REF!="Muy Alta",'Mapa final'!#REF!="Catastrófico"),CONCATENATE("R6C",'Mapa final'!#REF!),"")</f>
        <v>#REF!</v>
      </c>
      <c r="AN11" s="80"/>
      <c r="AO11" s="285"/>
      <c r="AP11" s="286"/>
      <c r="AQ11" s="286"/>
      <c r="AR11" s="286"/>
      <c r="AS11" s="286"/>
      <c r="AT11" s="287"/>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294"/>
      <c r="C12" s="294"/>
      <c r="D12" s="295"/>
      <c r="E12" s="265"/>
      <c r="F12" s="266"/>
      <c r="G12" s="266"/>
      <c r="H12" s="266"/>
      <c r="I12" s="267"/>
      <c r="J12" s="49" t="str">
        <f>IF(AND('Mapa final'!$Y$39="Muy Alta",'Mapa final'!$AA$39="Leve"),CONCATENATE("R7C",'Mapa final'!$O$39),"")</f>
        <v/>
      </c>
      <c r="K12" s="50" t="str">
        <f>IF(AND('Mapa final'!$Y$40="Muy Alta",'Mapa final'!$AA$40="Leve"),CONCATENATE("R7C",'Mapa final'!$O$40),"")</f>
        <v/>
      </c>
      <c r="L12" s="50" t="str">
        <f>IF(AND('Mapa final'!$Y$41="Muy Alta",'Mapa final'!$AA$41="Leve"),CONCATENATE("R7C",'Mapa final'!$O$41),"")</f>
        <v/>
      </c>
      <c r="M12" s="50" t="str">
        <f>IF(AND('Mapa final'!$Y$42="Muy Alta",'Mapa final'!$AA$42="Leve"),CONCATENATE("R7C",'Mapa final'!$O$42),"")</f>
        <v/>
      </c>
      <c r="N12" s="50" t="str">
        <f>IF(AND('Mapa final'!$Y$43="Muy Alta",'Mapa final'!$AA$43="Leve"),CONCATENATE("R7C",'Mapa final'!$O$43),"")</f>
        <v/>
      </c>
      <c r="O12" s="51" t="str">
        <f>IF(AND('Mapa final'!$Y$44="Muy Alta",'Mapa final'!$AA$44="Leve"),CONCATENATE("R7C",'Mapa final'!$O$44),"")</f>
        <v/>
      </c>
      <c r="P12" s="49" t="str">
        <f>IF(AND('Mapa final'!$Y$39="Muy Alta",'Mapa final'!$AA$39="Menor"),CONCATENATE("R7C",'Mapa final'!$O$39),"")</f>
        <v/>
      </c>
      <c r="Q12" s="50" t="str">
        <f>IF(AND('Mapa final'!$Y$40="Muy Alta",'Mapa final'!$AA$40="Menor"),CONCATENATE("R7C",'Mapa final'!$O$40),"")</f>
        <v/>
      </c>
      <c r="R12" s="50" t="str">
        <f>IF(AND('Mapa final'!$Y$41="Muy Alta",'Mapa final'!$AA$41="Menor"),CONCATENATE("R7C",'Mapa final'!$O$41),"")</f>
        <v/>
      </c>
      <c r="S12" s="50" t="str">
        <f>IF(AND('Mapa final'!$Y$42="Muy Alta",'Mapa final'!$AA$42="Menor"),CONCATENATE("R7C",'Mapa final'!$O$42),"")</f>
        <v/>
      </c>
      <c r="T12" s="50" t="str">
        <f>IF(AND('Mapa final'!$Y$43="Muy Alta",'Mapa final'!$AA$43="Menor"),CONCATENATE("R7C",'Mapa final'!$O$43),"")</f>
        <v/>
      </c>
      <c r="U12" s="51" t="str">
        <f>IF(AND('Mapa final'!$Y$44="Muy Alta",'Mapa final'!$AA$44="Menor"),CONCATENATE("R7C",'Mapa final'!$O$44),"")</f>
        <v/>
      </c>
      <c r="V12" s="49" t="str">
        <f>IF(AND('Mapa final'!$Y$39="Muy Alta",'Mapa final'!$AA$39="Moderado"),CONCATENATE("R7C",'Mapa final'!$O$39),"")</f>
        <v/>
      </c>
      <c r="W12" s="50" t="str">
        <f>IF(AND('Mapa final'!$Y$40="Muy Alta",'Mapa final'!$AA$40="Moderado"),CONCATENATE("R7C",'Mapa final'!$O$40),"")</f>
        <v/>
      </c>
      <c r="X12" s="50" t="str">
        <f>IF(AND('Mapa final'!$Y$41="Muy Alta",'Mapa final'!$AA$41="Moderado"),CONCATENATE("R7C",'Mapa final'!$O$41),"")</f>
        <v/>
      </c>
      <c r="Y12" s="50" t="str">
        <f>IF(AND('Mapa final'!$Y$42="Muy Alta",'Mapa final'!$AA$42="Moderado"),CONCATENATE("R7C",'Mapa final'!$O$42),"")</f>
        <v/>
      </c>
      <c r="Z12" s="50" t="str">
        <f>IF(AND('Mapa final'!$Y$43="Muy Alta",'Mapa final'!$AA$43="Moderado"),CONCATENATE("R7C",'Mapa final'!$O$43),"")</f>
        <v/>
      </c>
      <c r="AA12" s="51" t="str">
        <f>IF(AND('Mapa final'!$Y$44="Muy Alta",'Mapa final'!$AA$44="Moderado"),CONCATENATE("R7C",'Mapa final'!$O$44),"")</f>
        <v/>
      </c>
      <c r="AB12" s="49" t="str">
        <f>IF(AND('Mapa final'!$Y$39="Muy Alta",'Mapa final'!$AA$39="Mayor"),CONCATENATE("R7C",'Mapa final'!$O$39),"")</f>
        <v/>
      </c>
      <c r="AC12" s="50" t="str">
        <f>IF(AND('Mapa final'!$Y$40="Muy Alta",'Mapa final'!$AA$40="Mayor"),CONCATENATE("R7C",'Mapa final'!$O$40),"")</f>
        <v/>
      </c>
      <c r="AD12" s="50" t="str">
        <f>IF(AND('Mapa final'!$Y$41="Muy Alta",'Mapa final'!$AA$41="Mayor"),CONCATENATE("R7C",'Mapa final'!$O$41),"")</f>
        <v/>
      </c>
      <c r="AE12" s="50" t="str">
        <f>IF(AND('Mapa final'!$Y$42="Muy Alta",'Mapa final'!$AA$42="Mayor"),CONCATENATE("R7C",'Mapa final'!$O$42),"")</f>
        <v/>
      </c>
      <c r="AF12" s="50" t="str">
        <f>IF(AND('Mapa final'!$Y$43="Muy Alta",'Mapa final'!$AA$43="Mayor"),CONCATENATE("R7C",'Mapa final'!$O$43),"")</f>
        <v/>
      </c>
      <c r="AG12" s="51" t="str">
        <f>IF(AND('Mapa final'!$Y$44="Muy Alta",'Mapa final'!$AA$44="Mayor"),CONCATENATE("R7C",'Mapa final'!$O$44),"")</f>
        <v/>
      </c>
      <c r="AH12" s="52" t="str">
        <f>IF(AND('Mapa final'!$Y$39="Muy Alta",'Mapa final'!$AA$39="Catastrófico"),CONCATENATE("R7C",'Mapa final'!$O$39),"")</f>
        <v/>
      </c>
      <c r="AI12" s="53" t="str">
        <f>IF(AND('Mapa final'!$Y$40="Muy Alta",'Mapa final'!$AA$40="Catastrófico"),CONCATENATE("R7C",'Mapa final'!$O$40),"")</f>
        <v/>
      </c>
      <c r="AJ12" s="53" t="str">
        <f>IF(AND('Mapa final'!$Y$41="Muy Alta",'Mapa final'!$AA$41="Catastrófico"),CONCATENATE("R7C",'Mapa final'!$O$41),"")</f>
        <v/>
      </c>
      <c r="AK12" s="53" t="str">
        <f>IF(AND('Mapa final'!$Y$42="Muy Alta",'Mapa final'!$AA$42="Catastrófico"),CONCATENATE("R7C",'Mapa final'!$O$42),"")</f>
        <v/>
      </c>
      <c r="AL12" s="53" t="str">
        <f>IF(AND('Mapa final'!$Y$43="Muy Alta",'Mapa final'!$AA$43="Catastrófico"),CONCATENATE("R7C",'Mapa final'!$O$43),"")</f>
        <v/>
      </c>
      <c r="AM12" s="54" t="str">
        <f>IF(AND('Mapa final'!$Y$44="Muy Alta",'Mapa final'!$AA$44="Catastrófico"),CONCATENATE("R7C",'Mapa final'!$O$44),"")</f>
        <v/>
      </c>
      <c r="AN12" s="80"/>
      <c r="AO12" s="285"/>
      <c r="AP12" s="286"/>
      <c r="AQ12" s="286"/>
      <c r="AR12" s="286"/>
      <c r="AS12" s="286"/>
      <c r="AT12" s="287"/>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294"/>
      <c r="C13" s="294"/>
      <c r="D13" s="295"/>
      <c r="E13" s="265"/>
      <c r="F13" s="266"/>
      <c r="G13" s="266"/>
      <c r="H13" s="266"/>
      <c r="I13" s="267"/>
      <c r="J13" s="49" t="str">
        <f>IF(AND('Mapa final'!$Y$45="Muy Alta",'Mapa final'!$AA$45="Leve"),CONCATENATE("R8C",'Mapa final'!$O$45),"")</f>
        <v/>
      </c>
      <c r="K13" s="50" t="str">
        <f>IF(AND('Mapa final'!$Y$46="Muy Alta",'Mapa final'!$AA$46="Leve"),CONCATENATE("R8C",'Mapa final'!$O$46),"")</f>
        <v/>
      </c>
      <c r="L13" s="50" t="str">
        <f>IF(AND('Mapa final'!$Y$47="Muy Alta",'Mapa final'!$AA$47="Leve"),CONCATENATE("R8C",'Mapa final'!$O$47),"")</f>
        <v/>
      </c>
      <c r="M13" s="50" t="str">
        <f>IF(AND('Mapa final'!$Y$48="Muy Alta",'Mapa final'!$AA$48="Leve"),CONCATENATE("R8C",'Mapa final'!$O$48),"")</f>
        <v/>
      </c>
      <c r="N13" s="50" t="str">
        <f>IF(AND('Mapa final'!$Y$49="Muy Alta",'Mapa final'!$AA$49="Leve"),CONCATENATE("R8C",'Mapa final'!$O$49),"")</f>
        <v/>
      </c>
      <c r="O13" s="51" t="str">
        <f>IF(AND('Mapa final'!$Y$50="Muy Alta",'Mapa final'!$AA$50="Leve"),CONCATENATE("R8C",'Mapa final'!$O$50),"")</f>
        <v/>
      </c>
      <c r="P13" s="49" t="str">
        <f>IF(AND('Mapa final'!$Y$45="Muy Alta",'Mapa final'!$AA$45="Menor"),CONCATENATE("R8C",'Mapa final'!$O$45),"")</f>
        <v/>
      </c>
      <c r="Q13" s="50" t="str">
        <f>IF(AND('Mapa final'!$Y$46="Muy Alta",'Mapa final'!$AA$46="Menor"),CONCATENATE("R8C",'Mapa final'!$O$46),"")</f>
        <v/>
      </c>
      <c r="R13" s="50" t="str">
        <f>IF(AND('Mapa final'!$Y$47="Muy Alta",'Mapa final'!$AA$47="Menor"),CONCATENATE("R8C",'Mapa final'!$O$47),"")</f>
        <v/>
      </c>
      <c r="S13" s="50" t="str">
        <f>IF(AND('Mapa final'!$Y$48="Muy Alta",'Mapa final'!$AA$48="Menor"),CONCATENATE("R8C",'Mapa final'!$O$48),"")</f>
        <v/>
      </c>
      <c r="T13" s="50" t="str">
        <f>IF(AND('Mapa final'!$Y$49="Muy Alta",'Mapa final'!$AA$49="Menor"),CONCATENATE("R8C",'Mapa final'!$O$49),"")</f>
        <v/>
      </c>
      <c r="U13" s="51" t="str">
        <f>IF(AND('Mapa final'!$Y$50="Muy Alta",'Mapa final'!$AA$50="Menor"),CONCATENATE("R8C",'Mapa final'!$O$50),"")</f>
        <v/>
      </c>
      <c r="V13" s="49" t="str">
        <f>IF(AND('Mapa final'!$Y$45="Muy Alta",'Mapa final'!$AA$45="Moderado"),CONCATENATE("R8C",'Mapa final'!$O$45),"")</f>
        <v/>
      </c>
      <c r="W13" s="50" t="str">
        <f>IF(AND('Mapa final'!$Y$46="Muy Alta",'Mapa final'!$AA$46="Moderado"),CONCATENATE("R8C",'Mapa final'!$O$46),"")</f>
        <v/>
      </c>
      <c r="X13" s="50" t="str">
        <f>IF(AND('Mapa final'!$Y$47="Muy Alta",'Mapa final'!$AA$47="Moderado"),CONCATENATE("R8C",'Mapa final'!$O$47),"")</f>
        <v/>
      </c>
      <c r="Y13" s="50" t="str">
        <f>IF(AND('Mapa final'!$Y$48="Muy Alta",'Mapa final'!$AA$48="Moderado"),CONCATENATE("R8C",'Mapa final'!$O$48),"")</f>
        <v/>
      </c>
      <c r="Z13" s="50" t="str">
        <f>IF(AND('Mapa final'!$Y$49="Muy Alta",'Mapa final'!$AA$49="Moderado"),CONCATENATE("R8C",'Mapa final'!$O$49),"")</f>
        <v/>
      </c>
      <c r="AA13" s="51" t="str">
        <f>IF(AND('Mapa final'!$Y$50="Muy Alta",'Mapa final'!$AA$50="Moderado"),CONCATENATE("R8C",'Mapa final'!$O$50),"")</f>
        <v/>
      </c>
      <c r="AB13" s="49" t="str">
        <f>IF(AND('Mapa final'!$Y$45="Muy Alta",'Mapa final'!$AA$45="Mayor"),CONCATENATE("R8C",'Mapa final'!$O$45),"")</f>
        <v/>
      </c>
      <c r="AC13" s="50" t="str">
        <f>IF(AND('Mapa final'!$Y$46="Muy Alta",'Mapa final'!$AA$46="Mayor"),CONCATENATE("R8C",'Mapa final'!$O$46),"")</f>
        <v/>
      </c>
      <c r="AD13" s="50" t="str">
        <f>IF(AND('Mapa final'!$Y$47="Muy Alta",'Mapa final'!$AA$47="Mayor"),CONCATENATE("R8C",'Mapa final'!$O$47),"")</f>
        <v/>
      </c>
      <c r="AE13" s="50" t="str">
        <f>IF(AND('Mapa final'!$Y$48="Muy Alta",'Mapa final'!$AA$48="Mayor"),CONCATENATE("R8C",'Mapa final'!$O$48),"")</f>
        <v/>
      </c>
      <c r="AF13" s="50" t="str">
        <f>IF(AND('Mapa final'!$Y$49="Muy Alta",'Mapa final'!$AA$49="Mayor"),CONCATENATE("R8C",'Mapa final'!$O$49),"")</f>
        <v/>
      </c>
      <c r="AG13" s="51" t="str">
        <f>IF(AND('Mapa final'!$Y$50="Muy Alta",'Mapa final'!$AA$50="Mayor"),CONCATENATE("R8C",'Mapa final'!$O$50),"")</f>
        <v/>
      </c>
      <c r="AH13" s="52" t="str">
        <f>IF(AND('Mapa final'!$Y$45="Muy Alta",'Mapa final'!$AA$45="Catastrófico"),CONCATENATE("R8C",'Mapa final'!$O$45),"")</f>
        <v/>
      </c>
      <c r="AI13" s="53" t="str">
        <f>IF(AND('Mapa final'!$Y$46="Muy Alta",'Mapa final'!$AA$46="Catastrófico"),CONCATENATE("R8C",'Mapa final'!$O$46),"")</f>
        <v/>
      </c>
      <c r="AJ13" s="53" t="str">
        <f>IF(AND('Mapa final'!$Y$47="Muy Alta",'Mapa final'!$AA$47="Catastrófico"),CONCATENATE("R8C",'Mapa final'!$O$47),"")</f>
        <v/>
      </c>
      <c r="AK13" s="53" t="str">
        <f>IF(AND('Mapa final'!$Y$48="Muy Alta",'Mapa final'!$AA$48="Catastrófico"),CONCATENATE("R8C",'Mapa final'!$O$48),"")</f>
        <v/>
      </c>
      <c r="AL13" s="53" t="str">
        <f>IF(AND('Mapa final'!$Y$49="Muy Alta",'Mapa final'!$AA$49="Catastrófico"),CONCATENATE("R8C",'Mapa final'!$O$49),"")</f>
        <v/>
      </c>
      <c r="AM13" s="54" t="str">
        <f>IF(AND('Mapa final'!$Y$50="Muy Alta",'Mapa final'!$AA$50="Catastrófico"),CONCATENATE("R8C",'Mapa final'!$O$50),"")</f>
        <v/>
      </c>
      <c r="AN13" s="80"/>
      <c r="AO13" s="285"/>
      <c r="AP13" s="286"/>
      <c r="AQ13" s="286"/>
      <c r="AR13" s="286"/>
      <c r="AS13" s="286"/>
      <c r="AT13" s="287"/>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294"/>
      <c r="C14" s="294"/>
      <c r="D14" s="295"/>
      <c r="E14" s="265"/>
      <c r="F14" s="266"/>
      <c r="G14" s="266"/>
      <c r="H14" s="266"/>
      <c r="I14" s="267"/>
      <c r="J14" s="49" t="str">
        <f>IF(AND('Mapa final'!$Y$51="Muy Alta",'Mapa final'!$AA$51="Leve"),CONCATENATE("R9C",'Mapa final'!$O$51),"")</f>
        <v/>
      </c>
      <c r="K14" s="50" t="str">
        <f>IF(AND('Mapa final'!$Y$52="Muy Alta",'Mapa final'!$AA$52="Leve"),CONCATENATE("R9C",'Mapa final'!$O$52),"")</f>
        <v/>
      </c>
      <c r="L14" s="50" t="str">
        <f>IF(AND('Mapa final'!$Y$53="Muy Alta",'Mapa final'!$AA$53="Leve"),CONCATENATE("R9C",'Mapa final'!$O$53),"")</f>
        <v/>
      </c>
      <c r="M14" s="50" t="str">
        <f>IF(AND('Mapa final'!$Y$54="Muy Alta",'Mapa final'!$AA$54="Leve"),CONCATENATE("R9C",'Mapa final'!$O$54),"")</f>
        <v/>
      </c>
      <c r="N14" s="50" t="str">
        <f>IF(AND('Mapa final'!$Y$55="Muy Alta",'Mapa final'!$AA$55="Leve"),CONCATENATE("R9C",'Mapa final'!$O$55),"")</f>
        <v/>
      </c>
      <c r="O14" s="51" t="str">
        <f>IF(AND('Mapa final'!$Y$56="Muy Alta",'Mapa final'!$AA$56="Leve"),CONCATENATE("R9C",'Mapa final'!$O$56),"")</f>
        <v/>
      </c>
      <c r="P14" s="49" t="str">
        <f>IF(AND('Mapa final'!$Y$51="Muy Alta",'Mapa final'!$AA$51="Menor"),CONCATENATE("R9C",'Mapa final'!$O$51),"")</f>
        <v/>
      </c>
      <c r="Q14" s="50" t="str">
        <f>IF(AND('Mapa final'!$Y$52="Muy Alta",'Mapa final'!$AA$52="Menor"),CONCATENATE("R9C",'Mapa final'!$O$52),"")</f>
        <v/>
      </c>
      <c r="R14" s="50" t="str">
        <f>IF(AND('Mapa final'!$Y$53="Muy Alta",'Mapa final'!$AA$53="Menor"),CONCATENATE("R9C",'Mapa final'!$O$53),"")</f>
        <v/>
      </c>
      <c r="S14" s="50" t="str">
        <f>IF(AND('Mapa final'!$Y$54="Muy Alta",'Mapa final'!$AA$54="Menor"),CONCATENATE("R9C",'Mapa final'!$O$54),"")</f>
        <v/>
      </c>
      <c r="T14" s="50" t="str">
        <f>IF(AND('Mapa final'!$Y$55="Muy Alta",'Mapa final'!$AA$55="Menor"),CONCATENATE("R9C",'Mapa final'!$O$55),"")</f>
        <v/>
      </c>
      <c r="U14" s="51" t="str">
        <f>IF(AND('Mapa final'!$Y$56="Muy Alta",'Mapa final'!$AA$56="Menor"),CONCATENATE("R9C",'Mapa final'!$O$56),"")</f>
        <v/>
      </c>
      <c r="V14" s="49" t="str">
        <f>IF(AND('Mapa final'!$Y$51="Muy Alta",'Mapa final'!$AA$51="Moderado"),CONCATENATE("R9C",'Mapa final'!$O$51),"")</f>
        <v/>
      </c>
      <c r="W14" s="50" t="str">
        <f>IF(AND('Mapa final'!$Y$52="Muy Alta",'Mapa final'!$AA$52="Moderado"),CONCATENATE("R9C",'Mapa final'!$O$52),"")</f>
        <v/>
      </c>
      <c r="X14" s="50" t="str">
        <f>IF(AND('Mapa final'!$Y$53="Muy Alta",'Mapa final'!$AA$53="Moderado"),CONCATENATE("R9C",'Mapa final'!$O$53),"")</f>
        <v/>
      </c>
      <c r="Y14" s="50" t="str">
        <f>IF(AND('Mapa final'!$Y$54="Muy Alta",'Mapa final'!$AA$54="Moderado"),CONCATENATE("R9C",'Mapa final'!$O$54),"")</f>
        <v/>
      </c>
      <c r="Z14" s="50" t="str">
        <f>IF(AND('Mapa final'!$Y$55="Muy Alta",'Mapa final'!$AA$55="Moderado"),CONCATENATE("R9C",'Mapa final'!$O$55),"")</f>
        <v/>
      </c>
      <c r="AA14" s="51" t="str">
        <f>IF(AND('Mapa final'!$Y$56="Muy Alta",'Mapa final'!$AA$56="Moderado"),CONCATENATE("R9C",'Mapa final'!$O$56),"")</f>
        <v/>
      </c>
      <c r="AB14" s="49" t="str">
        <f>IF(AND('Mapa final'!$Y$51="Muy Alta",'Mapa final'!$AA$51="Mayor"),CONCATENATE("R9C",'Mapa final'!$O$51),"")</f>
        <v/>
      </c>
      <c r="AC14" s="50" t="str">
        <f>IF(AND('Mapa final'!$Y$52="Muy Alta",'Mapa final'!$AA$52="Mayor"),CONCATENATE("R9C",'Mapa final'!$O$52),"")</f>
        <v/>
      </c>
      <c r="AD14" s="50" t="str">
        <f>IF(AND('Mapa final'!$Y$53="Muy Alta",'Mapa final'!$AA$53="Mayor"),CONCATENATE("R9C",'Mapa final'!$O$53),"")</f>
        <v/>
      </c>
      <c r="AE14" s="50" t="str">
        <f>IF(AND('Mapa final'!$Y$54="Muy Alta",'Mapa final'!$AA$54="Mayor"),CONCATENATE("R9C",'Mapa final'!$O$54),"")</f>
        <v/>
      </c>
      <c r="AF14" s="50" t="str">
        <f>IF(AND('Mapa final'!$Y$55="Muy Alta",'Mapa final'!$AA$55="Mayor"),CONCATENATE("R9C",'Mapa final'!$O$55),"")</f>
        <v/>
      </c>
      <c r="AG14" s="51" t="str">
        <f>IF(AND('Mapa final'!$Y$56="Muy Alta",'Mapa final'!$AA$56="Mayor"),CONCATENATE("R9C",'Mapa final'!$O$56),"")</f>
        <v/>
      </c>
      <c r="AH14" s="52" t="str">
        <f>IF(AND('Mapa final'!$Y$51="Muy Alta",'Mapa final'!$AA$51="Catastrófico"),CONCATENATE("R9C",'Mapa final'!$O$51),"")</f>
        <v/>
      </c>
      <c r="AI14" s="53" t="str">
        <f>IF(AND('Mapa final'!$Y$52="Muy Alta",'Mapa final'!$AA$52="Catastrófico"),CONCATENATE("R9C",'Mapa final'!$O$52),"")</f>
        <v/>
      </c>
      <c r="AJ14" s="53" t="str">
        <f>IF(AND('Mapa final'!$Y$53="Muy Alta",'Mapa final'!$AA$53="Catastrófico"),CONCATENATE("R9C",'Mapa final'!$O$53),"")</f>
        <v/>
      </c>
      <c r="AK14" s="53" t="str">
        <f>IF(AND('Mapa final'!$Y$54="Muy Alta",'Mapa final'!$AA$54="Catastrófico"),CONCATENATE("R9C",'Mapa final'!$O$54),"")</f>
        <v/>
      </c>
      <c r="AL14" s="53" t="str">
        <f>IF(AND('Mapa final'!$Y$55="Muy Alta",'Mapa final'!$AA$55="Catastrófico"),CONCATENATE("R9C",'Mapa final'!$O$55),"")</f>
        <v/>
      </c>
      <c r="AM14" s="54" t="str">
        <f>IF(AND('Mapa final'!$Y$56="Muy Alta",'Mapa final'!$AA$56="Catastrófico"),CONCATENATE("R9C",'Mapa final'!$O$56),"")</f>
        <v/>
      </c>
      <c r="AN14" s="80"/>
      <c r="AO14" s="285"/>
      <c r="AP14" s="286"/>
      <c r="AQ14" s="286"/>
      <c r="AR14" s="286"/>
      <c r="AS14" s="286"/>
      <c r="AT14" s="287"/>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294"/>
      <c r="C15" s="294"/>
      <c r="D15" s="295"/>
      <c r="E15" s="268"/>
      <c r="F15" s="269"/>
      <c r="G15" s="269"/>
      <c r="H15" s="269"/>
      <c r="I15" s="270"/>
      <c r="J15" s="55" t="str">
        <f>IF(AND('Mapa final'!$Y$57="Muy Alta",'Mapa final'!$AA$57="Leve"),CONCATENATE("R10C",'Mapa final'!$O$57),"")</f>
        <v/>
      </c>
      <c r="K15" s="56" t="str">
        <f>IF(AND('Mapa final'!$Y$58="Muy Alta",'Mapa final'!$AA$58="Leve"),CONCATENATE("R10C",'Mapa final'!$O$58),"")</f>
        <v/>
      </c>
      <c r="L15" s="56" t="str">
        <f>IF(AND('Mapa final'!$Y$59="Muy Alta",'Mapa final'!$AA$59="Leve"),CONCATENATE("R10C",'Mapa final'!$O$59),"")</f>
        <v/>
      </c>
      <c r="M15" s="56" t="str">
        <f>IF(AND('Mapa final'!$Y$60="Muy Alta",'Mapa final'!$AA$60="Leve"),CONCATENATE("R10C",'Mapa final'!$O$60),"")</f>
        <v/>
      </c>
      <c r="N15" s="56" t="str">
        <f>IF(AND('Mapa final'!$Y$61="Muy Alta",'Mapa final'!$AA$61="Leve"),CONCATENATE("R10C",'Mapa final'!$O$61),"")</f>
        <v/>
      </c>
      <c r="O15" s="57" t="str">
        <f>IF(AND('Mapa final'!$Y$62="Muy Alta",'Mapa final'!$AA$62="Leve"),CONCATENATE("R10C",'Mapa final'!$O$62),"")</f>
        <v/>
      </c>
      <c r="P15" s="49" t="str">
        <f>IF(AND('Mapa final'!$Y$57="Muy Alta",'Mapa final'!$AA$57="Menor"),CONCATENATE("R10C",'Mapa final'!$O$57),"")</f>
        <v/>
      </c>
      <c r="Q15" s="50" t="str">
        <f>IF(AND('Mapa final'!$Y$58="Muy Alta",'Mapa final'!$AA$58="Menor"),CONCATENATE("R10C",'Mapa final'!$O$58),"")</f>
        <v/>
      </c>
      <c r="R15" s="50" t="str">
        <f>IF(AND('Mapa final'!$Y$59="Muy Alta",'Mapa final'!$AA$59="Menor"),CONCATENATE("R10C",'Mapa final'!$O$59),"")</f>
        <v/>
      </c>
      <c r="S15" s="50" t="str">
        <f>IF(AND('Mapa final'!$Y$60="Muy Alta",'Mapa final'!$AA$60="Menor"),CONCATENATE("R10C",'Mapa final'!$O$60),"")</f>
        <v/>
      </c>
      <c r="T15" s="50" t="str">
        <f>IF(AND('Mapa final'!$Y$61="Muy Alta",'Mapa final'!$AA$61="Menor"),CONCATENATE("R10C",'Mapa final'!$O$61),"")</f>
        <v/>
      </c>
      <c r="U15" s="51" t="str">
        <f>IF(AND('Mapa final'!$Y$62="Muy Alta",'Mapa final'!$AA$62="Menor"),CONCATENATE("R10C",'Mapa final'!$O$62),"")</f>
        <v/>
      </c>
      <c r="V15" s="55" t="str">
        <f>IF(AND('Mapa final'!$Y$57="Muy Alta",'Mapa final'!$AA$57="Moderado"),CONCATENATE("R10C",'Mapa final'!$O$57),"")</f>
        <v/>
      </c>
      <c r="W15" s="56" t="str">
        <f>IF(AND('Mapa final'!$Y$58="Muy Alta",'Mapa final'!$AA$58="Moderado"),CONCATENATE("R10C",'Mapa final'!$O$58),"")</f>
        <v/>
      </c>
      <c r="X15" s="56" t="str">
        <f>IF(AND('Mapa final'!$Y$59="Muy Alta",'Mapa final'!$AA$59="Moderado"),CONCATENATE("R10C",'Mapa final'!$O$59),"")</f>
        <v/>
      </c>
      <c r="Y15" s="56" t="str">
        <f>IF(AND('Mapa final'!$Y$60="Muy Alta",'Mapa final'!$AA$60="Moderado"),CONCATENATE("R10C",'Mapa final'!$O$60),"")</f>
        <v/>
      </c>
      <c r="Z15" s="56" t="str">
        <f>IF(AND('Mapa final'!$Y$61="Muy Alta",'Mapa final'!$AA$61="Moderado"),CONCATENATE("R10C",'Mapa final'!$O$61),"")</f>
        <v/>
      </c>
      <c r="AA15" s="57" t="str">
        <f>IF(AND('Mapa final'!$Y$62="Muy Alta",'Mapa final'!$AA$62="Moderado"),CONCATENATE("R10C",'Mapa final'!$O$62),"")</f>
        <v/>
      </c>
      <c r="AB15" s="49" t="str">
        <f>IF(AND('Mapa final'!$Y$57="Muy Alta",'Mapa final'!$AA$57="Mayor"),CONCATENATE("R10C",'Mapa final'!$O$57),"")</f>
        <v/>
      </c>
      <c r="AC15" s="50" t="str">
        <f>IF(AND('Mapa final'!$Y$58="Muy Alta",'Mapa final'!$AA$58="Mayor"),CONCATENATE("R10C",'Mapa final'!$O$58),"")</f>
        <v/>
      </c>
      <c r="AD15" s="50" t="str">
        <f>IF(AND('Mapa final'!$Y$59="Muy Alta",'Mapa final'!$AA$59="Mayor"),CONCATENATE("R10C",'Mapa final'!$O$59),"")</f>
        <v/>
      </c>
      <c r="AE15" s="50" t="str">
        <f>IF(AND('Mapa final'!$Y$60="Muy Alta",'Mapa final'!$AA$60="Mayor"),CONCATENATE("R10C",'Mapa final'!$O$60),"")</f>
        <v/>
      </c>
      <c r="AF15" s="50" t="str">
        <f>IF(AND('Mapa final'!$Y$61="Muy Alta",'Mapa final'!$AA$61="Mayor"),CONCATENATE("R10C",'Mapa final'!$O$61),"")</f>
        <v/>
      </c>
      <c r="AG15" s="51" t="str">
        <f>IF(AND('Mapa final'!$Y$62="Muy Alta",'Mapa final'!$AA$62="Mayor"),CONCATENATE("R10C",'Mapa final'!$O$62),"")</f>
        <v/>
      </c>
      <c r="AH15" s="58" t="str">
        <f>IF(AND('Mapa final'!$Y$57="Muy Alta",'Mapa final'!$AA$57="Catastrófico"),CONCATENATE("R10C",'Mapa final'!$O$57),"")</f>
        <v/>
      </c>
      <c r="AI15" s="59" t="str">
        <f>IF(AND('Mapa final'!$Y$58="Muy Alta",'Mapa final'!$AA$58="Catastrófico"),CONCATENATE("R10C",'Mapa final'!$O$58),"")</f>
        <v/>
      </c>
      <c r="AJ15" s="59" t="str">
        <f>IF(AND('Mapa final'!$Y$59="Muy Alta",'Mapa final'!$AA$59="Catastrófico"),CONCATENATE("R10C",'Mapa final'!$O$59),"")</f>
        <v/>
      </c>
      <c r="AK15" s="59" t="str">
        <f>IF(AND('Mapa final'!$Y$60="Muy Alta",'Mapa final'!$AA$60="Catastrófico"),CONCATENATE("R10C",'Mapa final'!$O$60),"")</f>
        <v/>
      </c>
      <c r="AL15" s="59" t="str">
        <f>IF(AND('Mapa final'!$Y$61="Muy Alta",'Mapa final'!$AA$61="Catastrófico"),CONCATENATE("R10C",'Mapa final'!$O$61),"")</f>
        <v/>
      </c>
      <c r="AM15" s="60" t="str">
        <f>IF(AND('Mapa final'!$Y$62="Muy Alta",'Mapa final'!$AA$62="Catastrófico"),CONCATENATE("R10C",'Mapa final'!$O$62),"")</f>
        <v/>
      </c>
      <c r="AN15" s="80"/>
      <c r="AO15" s="288"/>
      <c r="AP15" s="289"/>
      <c r="AQ15" s="289"/>
      <c r="AR15" s="289"/>
      <c r="AS15" s="289"/>
      <c r="AT15" s="29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294"/>
      <c r="C16" s="294"/>
      <c r="D16" s="295"/>
      <c r="E16" s="262" t="s">
        <v>115</v>
      </c>
      <c r="F16" s="263"/>
      <c r="G16" s="263"/>
      <c r="H16" s="263"/>
      <c r="I16" s="263"/>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272" t="s">
        <v>80</v>
      </c>
      <c r="AP16" s="273"/>
      <c r="AQ16" s="273"/>
      <c r="AR16" s="273"/>
      <c r="AS16" s="273"/>
      <c r="AT16" s="274"/>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294"/>
      <c r="C17" s="294"/>
      <c r="D17" s="295"/>
      <c r="E17" s="281"/>
      <c r="F17" s="266"/>
      <c r="G17" s="266"/>
      <c r="H17" s="266"/>
      <c r="I17" s="266"/>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80"/>
      <c r="AO17" s="275"/>
      <c r="AP17" s="276"/>
      <c r="AQ17" s="276"/>
      <c r="AR17" s="276"/>
      <c r="AS17" s="276"/>
      <c r="AT17" s="277"/>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294"/>
      <c r="C18" s="294"/>
      <c r="D18" s="295"/>
      <c r="E18" s="265"/>
      <c r="F18" s="266"/>
      <c r="G18" s="266"/>
      <c r="H18" s="266"/>
      <c r="I18" s="266"/>
      <c r="J18" s="64" t="str">
        <f>IF(AND('Mapa final'!$Y$22="Alta",'Mapa final'!$AA$22="Leve"),CONCATENATE("R3C",'Mapa final'!$O$22),"")</f>
        <v/>
      </c>
      <c r="K18" s="65" t="str">
        <f>IF(AND('Mapa final'!$Y$23="Alta",'Mapa final'!$AA$23="Leve"),CONCATENATE("R3C",'Mapa final'!$O$23),"")</f>
        <v/>
      </c>
      <c r="L18" s="65" t="str">
        <f>IF(AND('Mapa final'!$Y$24="Alta",'Mapa final'!$AA$24="Leve"),CONCATENATE("R3C",'Mapa final'!$O$24),"")</f>
        <v/>
      </c>
      <c r="M18" s="65" t="str">
        <f>IF(AND('Mapa final'!$Y$25="Alta",'Mapa final'!$AA$25="Leve"),CONCATENATE("R3C",'Mapa final'!$O$25),"")</f>
        <v/>
      </c>
      <c r="N18" s="65" t="str">
        <f>IF(AND('Mapa final'!$Y$26="Alta",'Mapa final'!$AA$26="Leve"),CONCATENATE("R3C",'Mapa final'!$O$26),"")</f>
        <v/>
      </c>
      <c r="O18" s="66" t="str">
        <f>IF(AND('Mapa final'!$Y$27="Alta",'Mapa final'!$AA$27="Leve"),CONCATENATE("R3C",'Mapa final'!$O$27),"")</f>
        <v/>
      </c>
      <c r="P18" s="64" t="str">
        <f>IF(AND('Mapa final'!$Y$22="Alta",'Mapa final'!$AA$22="Menor"),CONCATENATE("R3C",'Mapa final'!$O$22),"")</f>
        <v/>
      </c>
      <c r="Q18" s="65" t="str">
        <f>IF(AND('Mapa final'!$Y$23="Alta",'Mapa final'!$AA$23="Menor"),CONCATENATE("R3C",'Mapa final'!$O$23),"")</f>
        <v/>
      </c>
      <c r="R18" s="65" t="str">
        <f>IF(AND('Mapa final'!$Y$24="Alta",'Mapa final'!$AA$24="Menor"),CONCATENATE("R3C",'Mapa final'!$O$24),"")</f>
        <v/>
      </c>
      <c r="S18" s="65" t="str">
        <f>IF(AND('Mapa final'!$Y$25="Alta",'Mapa final'!$AA$25="Menor"),CONCATENATE("R3C",'Mapa final'!$O$25),"")</f>
        <v/>
      </c>
      <c r="T18" s="65" t="str">
        <f>IF(AND('Mapa final'!$Y$26="Alta",'Mapa final'!$AA$26="Menor"),CONCATENATE("R3C",'Mapa final'!$O$26),"")</f>
        <v/>
      </c>
      <c r="U18" s="66" t="str">
        <f>IF(AND('Mapa final'!$Y$27="Alta",'Mapa final'!$AA$27="Menor"),CONCATENATE("R3C",'Mapa final'!$O$27),"")</f>
        <v/>
      </c>
      <c r="V18" s="49" t="str">
        <f>IF(AND('Mapa final'!$Y$22="Alta",'Mapa final'!$AA$22="Moderado"),CONCATENATE("R3C",'Mapa final'!$O$22),"")</f>
        <v/>
      </c>
      <c r="W18" s="50" t="str">
        <f>IF(AND('Mapa final'!$Y$23="Alta",'Mapa final'!$AA$23="Moderado"),CONCATENATE("R3C",'Mapa final'!$O$23),"")</f>
        <v/>
      </c>
      <c r="X18" s="50" t="str">
        <f>IF(AND('Mapa final'!$Y$24="Alta",'Mapa final'!$AA$24="Moderado"),CONCATENATE("R3C",'Mapa final'!$O$24),"")</f>
        <v/>
      </c>
      <c r="Y18" s="50" t="str">
        <f>IF(AND('Mapa final'!$Y$25="Alta",'Mapa final'!$AA$25="Moderado"),CONCATENATE("R3C",'Mapa final'!$O$25),"")</f>
        <v/>
      </c>
      <c r="Z18" s="50" t="str">
        <f>IF(AND('Mapa final'!$Y$26="Alta",'Mapa final'!$AA$26="Moderado"),CONCATENATE("R3C",'Mapa final'!$O$26),"")</f>
        <v/>
      </c>
      <c r="AA18" s="51" t="str">
        <f>IF(AND('Mapa final'!$Y$27="Alta",'Mapa final'!$AA$27="Moderado"),CONCATENATE("R3C",'Mapa final'!$O$27),"")</f>
        <v/>
      </c>
      <c r="AB18" s="49" t="str">
        <f>IF(AND('Mapa final'!$Y$22="Alta",'Mapa final'!$AA$22="Mayor"),CONCATENATE("R3C",'Mapa final'!$O$22),"")</f>
        <v/>
      </c>
      <c r="AC18" s="50" t="str">
        <f>IF(AND('Mapa final'!$Y$23="Alta",'Mapa final'!$AA$23="Mayor"),CONCATENATE("R3C",'Mapa final'!$O$23),"")</f>
        <v/>
      </c>
      <c r="AD18" s="50" t="str">
        <f>IF(AND('Mapa final'!$Y$24="Alta",'Mapa final'!$AA$24="Mayor"),CONCATENATE("R3C",'Mapa final'!$O$24),"")</f>
        <v/>
      </c>
      <c r="AE18" s="50" t="str">
        <f>IF(AND('Mapa final'!$Y$25="Alta",'Mapa final'!$AA$25="Mayor"),CONCATENATE("R3C",'Mapa final'!$O$25),"")</f>
        <v/>
      </c>
      <c r="AF18" s="50" t="str">
        <f>IF(AND('Mapa final'!$Y$26="Alta",'Mapa final'!$AA$26="Mayor"),CONCATENATE("R3C",'Mapa final'!$O$26),"")</f>
        <v/>
      </c>
      <c r="AG18" s="51" t="str">
        <f>IF(AND('Mapa final'!$Y$27="Alta",'Mapa final'!$AA$27="Mayor"),CONCATENATE("R3C",'Mapa final'!$O$27),"")</f>
        <v/>
      </c>
      <c r="AH18" s="52" t="str">
        <f>IF(AND('Mapa final'!$Y$22="Alta",'Mapa final'!$AA$22="Catastrófico"),CONCATENATE("R3C",'Mapa final'!$O$22),"")</f>
        <v/>
      </c>
      <c r="AI18" s="53" t="str">
        <f>IF(AND('Mapa final'!$Y$23="Alta",'Mapa final'!$AA$23="Catastrófico"),CONCATENATE("R3C",'Mapa final'!$O$23),"")</f>
        <v/>
      </c>
      <c r="AJ18" s="53" t="str">
        <f>IF(AND('Mapa final'!$Y$24="Alta",'Mapa final'!$AA$24="Catastrófico"),CONCATENATE("R3C",'Mapa final'!$O$24),"")</f>
        <v/>
      </c>
      <c r="AK18" s="53" t="str">
        <f>IF(AND('Mapa final'!$Y$25="Alta",'Mapa final'!$AA$25="Catastrófico"),CONCATENATE("R3C",'Mapa final'!$O$25),"")</f>
        <v/>
      </c>
      <c r="AL18" s="53" t="str">
        <f>IF(AND('Mapa final'!$Y$26="Alta",'Mapa final'!$AA$26="Catastrófico"),CONCATENATE("R3C",'Mapa final'!$O$26),"")</f>
        <v/>
      </c>
      <c r="AM18" s="54" t="str">
        <f>IF(AND('Mapa final'!$Y$27="Alta",'Mapa final'!$AA$27="Catastrófico"),CONCATENATE("R3C",'Mapa final'!$O$27),"")</f>
        <v/>
      </c>
      <c r="AN18" s="80"/>
      <c r="AO18" s="275"/>
      <c r="AP18" s="276"/>
      <c r="AQ18" s="276"/>
      <c r="AR18" s="276"/>
      <c r="AS18" s="276"/>
      <c r="AT18" s="277"/>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294"/>
      <c r="C19" s="294"/>
      <c r="D19" s="295"/>
      <c r="E19" s="265"/>
      <c r="F19" s="266"/>
      <c r="G19" s="266"/>
      <c r="H19" s="266"/>
      <c r="I19" s="266"/>
      <c r="J19" s="64" t="str">
        <f>IF(AND('Mapa final'!$Y$28="Alta",'Mapa final'!$AA$28="Leve"),CONCATENATE("R4C",'Mapa final'!$O$28),"")</f>
        <v/>
      </c>
      <c r="K19" s="65" t="e">
        <f>IF(AND('Mapa final'!#REF!="Alta",'Mapa final'!#REF!="Leve"),CONCATENATE("R4C",'Mapa final'!#REF!),"")</f>
        <v>#REF!</v>
      </c>
      <c r="L19" s="65" t="str">
        <f>IF(AND('Mapa final'!$Y$29="Alta",'Mapa final'!$AA$29="Leve"),CONCATENATE("R4C",'Mapa final'!$O$29),"")</f>
        <v/>
      </c>
      <c r="M19" s="65" t="str">
        <f>IF(AND('Mapa final'!$Y$30="Alta",'Mapa final'!$AA$30="Leve"),CONCATENATE("R4C",'Mapa final'!$O$30),"")</f>
        <v/>
      </c>
      <c r="N19" s="65" t="str">
        <f>IF(AND('Mapa final'!$Y$31="Alta",'Mapa final'!$AA$31="Leve"),CONCATENATE("R4C",'Mapa final'!$O$31),"")</f>
        <v/>
      </c>
      <c r="O19" s="66" t="str">
        <f>IF(AND('Mapa final'!$Y$32="Alta",'Mapa final'!$AA$32="Leve"),CONCATENATE("R4C",'Mapa final'!$O$32),"")</f>
        <v/>
      </c>
      <c r="P19" s="64" t="str">
        <f>IF(AND('Mapa final'!$Y$28="Alta",'Mapa final'!$AA$28="Menor"),CONCATENATE("R4C",'Mapa final'!$O$28),"")</f>
        <v/>
      </c>
      <c r="Q19" s="65" t="e">
        <f>IF(AND('Mapa final'!#REF!="Alta",'Mapa final'!#REF!="Menor"),CONCATENATE("R4C",'Mapa final'!#REF!),"")</f>
        <v>#REF!</v>
      </c>
      <c r="R19" s="65" t="str">
        <f>IF(AND('Mapa final'!$Y$29="Alta",'Mapa final'!$AA$29="Menor"),CONCATENATE("R4C",'Mapa final'!$O$29),"")</f>
        <v/>
      </c>
      <c r="S19" s="65" t="str">
        <f>IF(AND('Mapa final'!$Y$30="Alta",'Mapa final'!$AA$30="Menor"),CONCATENATE("R4C",'Mapa final'!$O$30),"")</f>
        <v/>
      </c>
      <c r="T19" s="65" t="str">
        <f>IF(AND('Mapa final'!$Y$31="Alta",'Mapa final'!$AA$31="Menor"),CONCATENATE("R4C",'Mapa final'!$O$31),"")</f>
        <v/>
      </c>
      <c r="U19" s="66" t="str">
        <f>IF(AND('Mapa final'!$Y$32="Alta",'Mapa final'!$AA$32="Menor"),CONCATENATE("R4C",'Mapa final'!$O$32),"")</f>
        <v/>
      </c>
      <c r="V19" s="49" t="str">
        <f>IF(AND('Mapa final'!$Y$28="Alta",'Mapa final'!$AA$28="Moderado"),CONCATENATE("R4C",'Mapa final'!$O$28),"")</f>
        <v/>
      </c>
      <c r="W19" s="50" t="e">
        <f>IF(AND('Mapa final'!#REF!="Alta",'Mapa final'!#REF!="Moderado"),CONCATENATE("R4C",'Mapa final'!#REF!),"")</f>
        <v>#REF!</v>
      </c>
      <c r="X19" s="50" t="str">
        <f>IF(AND('Mapa final'!$Y$29="Alta",'Mapa final'!$AA$29="Moderado"),CONCATENATE("R4C",'Mapa final'!$O$29),"")</f>
        <v/>
      </c>
      <c r="Y19" s="50" t="str">
        <f>IF(AND('Mapa final'!$Y$30="Alta",'Mapa final'!$AA$30="Moderado"),CONCATENATE("R4C",'Mapa final'!$O$30),"")</f>
        <v/>
      </c>
      <c r="Z19" s="50" t="str">
        <f>IF(AND('Mapa final'!$Y$31="Alta",'Mapa final'!$AA$31="Moderado"),CONCATENATE("R4C",'Mapa final'!$O$31),"")</f>
        <v/>
      </c>
      <c r="AA19" s="51" t="str">
        <f>IF(AND('Mapa final'!$Y$32="Alta",'Mapa final'!$AA$32="Moderado"),CONCATENATE("R4C",'Mapa final'!$O$32),"")</f>
        <v/>
      </c>
      <c r="AB19" s="49" t="str">
        <f>IF(AND('Mapa final'!$Y$28="Alta",'Mapa final'!$AA$28="Mayor"),CONCATENATE("R4C",'Mapa final'!$O$28),"")</f>
        <v/>
      </c>
      <c r="AC19" s="50" t="e">
        <f>IF(AND('Mapa final'!#REF!="Alta",'Mapa final'!#REF!="Mayor"),CONCATENATE("R4C",'Mapa final'!#REF!),"")</f>
        <v>#REF!</v>
      </c>
      <c r="AD19" s="50" t="str">
        <f>IF(AND('Mapa final'!$Y$29="Alta",'Mapa final'!$AA$29="Mayor"),CONCATENATE("R4C",'Mapa final'!$O$29),"")</f>
        <v/>
      </c>
      <c r="AE19" s="50" t="str">
        <f>IF(AND('Mapa final'!$Y$30="Alta",'Mapa final'!$AA$30="Mayor"),CONCATENATE("R4C",'Mapa final'!$O$30),"")</f>
        <v/>
      </c>
      <c r="AF19" s="50" t="str">
        <f>IF(AND('Mapa final'!$Y$31="Alta",'Mapa final'!$AA$31="Mayor"),CONCATENATE("R4C",'Mapa final'!$O$31),"")</f>
        <v/>
      </c>
      <c r="AG19" s="51" t="str">
        <f>IF(AND('Mapa final'!$Y$32="Alta",'Mapa final'!$AA$32="Mayor"),CONCATENATE("R4C",'Mapa final'!$O$32),"")</f>
        <v/>
      </c>
      <c r="AH19" s="52" t="str">
        <f>IF(AND('Mapa final'!$Y$28="Alta",'Mapa final'!$AA$28="Catastrófico"),CONCATENATE("R4C",'Mapa final'!$O$28),"")</f>
        <v/>
      </c>
      <c r="AI19" s="53" t="e">
        <f>IF(AND('Mapa final'!#REF!="Alta",'Mapa final'!#REF!="Catastrófico"),CONCATENATE("R4C",'Mapa final'!#REF!),"")</f>
        <v>#REF!</v>
      </c>
      <c r="AJ19" s="53" t="str">
        <f>IF(AND('Mapa final'!$Y$29="Alta",'Mapa final'!$AA$29="Catastrófico"),CONCATENATE("R4C",'Mapa final'!$O$29),"")</f>
        <v/>
      </c>
      <c r="AK19" s="53" t="str">
        <f>IF(AND('Mapa final'!$Y$30="Alta",'Mapa final'!$AA$30="Catastrófico"),CONCATENATE("R4C",'Mapa final'!$O$30),"")</f>
        <v/>
      </c>
      <c r="AL19" s="53" t="str">
        <f>IF(AND('Mapa final'!$Y$31="Alta",'Mapa final'!$AA$31="Catastrófico"),CONCATENATE("R4C",'Mapa final'!$O$31),"")</f>
        <v/>
      </c>
      <c r="AM19" s="54" t="str">
        <f>IF(AND('Mapa final'!$Y$32="Alta",'Mapa final'!$AA$32="Catastrófico"),CONCATENATE("R4C",'Mapa final'!$O$32),"")</f>
        <v/>
      </c>
      <c r="AN19" s="80"/>
      <c r="AO19" s="275"/>
      <c r="AP19" s="276"/>
      <c r="AQ19" s="276"/>
      <c r="AR19" s="276"/>
      <c r="AS19" s="276"/>
      <c r="AT19" s="277"/>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294"/>
      <c r="C20" s="294"/>
      <c r="D20" s="295"/>
      <c r="E20" s="265"/>
      <c r="F20" s="266"/>
      <c r="G20" s="266"/>
      <c r="H20" s="266"/>
      <c r="I20" s="266"/>
      <c r="J20" s="64" t="str">
        <f>IF(AND('Mapa final'!$Y$33="Alta",'Mapa final'!$AA$33="Leve"),CONCATENATE("R5C",'Mapa final'!$O$33),"")</f>
        <v/>
      </c>
      <c r="K20" s="65" t="str">
        <f>IF(AND('Mapa final'!$Y$34="Alta",'Mapa final'!$AA$34="Leve"),CONCATENATE("R5C",'Mapa final'!$O$34),"")</f>
        <v/>
      </c>
      <c r="L20" s="65" t="str">
        <f>IF(AND('Mapa final'!$Y$35="Alta",'Mapa final'!$AA$35="Leve"),CONCATENATE("R5C",'Mapa final'!$O$35),"")</f>
        <v/>
      </c>
      <c r="M20" s="65" t="str">
        <f>IF(AND('Mapa final'!$Y$36="Alta",'Mapa final'!$AA$36="Leve"),CONCATENATE("R5C",'Mapa final'!$O$36),"")</f>
        <v/>
      </c>
      <c r="N20" s="65" t="str">
        <f>IF(AND('Mapa final'!$Y$37="Alta",'Mapa final'!$AA$37="Leve"),CONCATENATE("R5C",'Mapa final'!$O$37),"")</f>
        <v/>
      </c>
      <c r="O20" s="66" t="str">
        <f>IF(AND('Mapa final'!$Y$38="Alta",'Mapa final'!$AA$38="Leve"),CONCATENATE("R5C",'Mapa final'!$O$38),"")</f>
        <v/>
      </c>
      <c r="P20" s="64" t="str">
        <f>IF(AND('Mapa final'!$Y$33="Alta",'Mapa final'!$AA$33="Menor"),CONCATENATE("R5C",'Mapa final'!$O$33),"")</f>
        <v/>
      </c>
      <c r="Q20" s="65" t="str">
        <f>IF(AND('Mapa final'!$Y$34="Alta",'Mapa final'!$AA$34="Menor"),CONCATENATE("R5C",'Mapa final'!$O$34),"")</f>
        <v/>
      </c>
      <c r="R20" s="65" t="str">
        <f>IF(AND('Mapa final'!$Y$35="Alta",'Mapa final'!$AA$35="Menor"),CONCATENATE("R5C",'Mapa final'!$O$35),"")</f>
        <v/>
      </c>
      <c r="S20" s="65" t="str">
        <f>IF(AND('Mapa final'!$Y$36="Alta",'Mapa final'!$AA$36="Menor"),CONCATENATE("R5C",'Mapa final'!$O$36),"")</f>
        <v/>
      </c>
      <c r="T20" s="65" t="str">
        <f>IF(AND('Mapa final'!$Y$37="Alta",'Mapa final'!$AA$37="Menor"),CONCATENATE("R5C",'Mapa final'!$O$37),"")</f>
        <v/>
      </c>
      <c r="U20" s="66" t="str">
        <f>IF(AND('Mapa final'!$Y$38="Alta",'Mapa final'!$AA$38="Menor"),CONCATENATE("R5C",'Mapa final'!$O$38),"")</f>
        <v/>
      </c>
      <c r="V20" s="49" t="str">
        <f>IF(AND('Mapa final'!$Y$33="Alta",'Mapa final'!$AA$33="Moderado"),CONCATENATE("R5C",'Mapa final'!$O$33),"")</f>
        <v/>
      </c>
      <c r="W20" s="50" t="str">
        <f>IF(AND('Mapa final'!$Y$34="Alta",'Mapa final'!$AA$34="Moderado"),CONCATENATE("R5C",'Mapa final'!$O$34),"")</f>
        <v/>
      </c>
      <c r="X20" s="50" t="str">
        <f>IF(AND('Mapa final'!$Y$35="Alta",'Mapa final'!$AA$35="Moderado"),CONCATENATE("R5C",'Mapa final'!$O$35),"")</f>
        <v/>
      </c>
      <c r="Y20" s="50" t="str">
        <f>IF(AND('Mapa final'!$Y$36="Alta",'Mapa final'!$AA$36="Moderado"),CONCATENATE("R5C",'Mapa final'!$O$36),"")</f>
        <v/>
      </c>
      <c r="Z20" s="50" t="str">
        <f>IF(AND('Mapa final'!$Y$37="Alta",'Mapa final'!$AA$37="Moderado"),CONCATENATE("R5C",'Mapa final'!$O$37),"")</f>
        <v/>
      </c>
      <c r="AA20" s="51" t="str">
        <f>IF(AND('Mapa final'!$Y$38="Alta",'Mapa final'!$AA$38="Moderado"),CONCATENATE("R5C",'Mapa final'!$O$38),"")</f>
        <v/>
      </c>
      <c r="AB20" s="49" t="str">
        <f>IF(AND('Mapa final'!$Y$33="Alta",'Mapa final'!$AA$33="Mayor"),CONCATENATE("R5C",'Mapa final'!$O$33),"")</f>
        <v/>
      </c>
      <c r="AC20" s="50" t="str">
        <f>IF(AND('Mapa final'!$Y$34="Alta",'Mapa final'!$AA$34="Mayor"),CONCATENATE("R5C",'Mapa final'!$O$34),"")</f>
        <v/>
      </c>
      <c r="AD20" s="50" t="str">
        <f>IF(AND('Mapa final'!$Y$35="Alta",'Mapa final'!$AA$35="Mayor"),CONCATENATE("R5C",'Mapa final'!$O$35),"")</f>
        <v/>
      </c>
      <c r="AE20" s="50" t="str">
        <f>IF(AND('Mapa final'!$Y$36="Alta",'Mapa final'!$AA$36="Mayor"),CONCATENATE("R5C",'Mapa final'!$O$36),"")</f>
        <v/>
      </c>
      <c r="AF20" s="50" t="str">
        <f>IF(AND('Mapa final'!$Y$37="Alta",'Mapa final'!$AA$37="Mayor"),CONCATENATE("R5C",'Mapa final'!$O$37),"")</f>
        <v/>
      </c>
      <c r="AG20" s="51" t="str">
        <f>IF(AND('Mapa final'!$Y$38="Alta",'Mapa final'!$AA$38="Mayor"),CONCATENATE("R5C",'Mapa final'!$O$38),"")</f>
        <v/>
      </c>
      <c r="AH20" s="52" t="str">
        <f>IF(AND('Mapa final'!$Y$33="Alta",'Mapa final'!$AA$33="Catastrófico"),CONCATENATE("R5C",'Mapa final'!$O$33),"")</f>
        <v/>
      </c>
      <c r="AI20" s="53" t="str">
        <f>IF(AND('Mapa final'!$Y$34="Alta",'Mapa final'!$AA$34="Catastrófico"),CONCATENATE("R5C",'Mapa final'!$O$34),"")</f>
        <v/>
      </c>
      <c r="AJ20" s="53" t="str">
        <f>IF(AND('Mapa final'!$Y$35="Alta",'Mapa final'!$AA$35="Catastrófico"),CONCATENATE("R5C",'Mapa final'!$O$35),"")</f>
        <v/>
      </c>
      <c r="AK20" s="53" t="str">
        <f>IF(AND('Mapa final'!$Y$36="Alta",'Mapa final'!$AA$36="Catastrófico"),CONCATENATE("R5C",'Mapa final'!$O$36),"")</f>
        <v/>
      </c>
      <c r="AL20" s="53" t="str">
        <f>IF(AND('Mapa final'!$Y$37="Alta",'Mapa final'!$AA$37="Catastrófico"),CONCATENATE("R5C",'Mapa final'!$O$37),"")</f>
        <v/>
      </c>
      <c r="AM20" s="54" t="str">
        <f>IF(AND('Mapa final'!$Y$38="Alta",'Mapa final'!$AA$38="Catastrófico"),CONCATENATE("R5C",'Mapa final'!$O$38),"")</f>
        <v/>
      </c>
      <c r="AN20" s="80"/>
      <c r="AO20" s="275"/>
      <c r="AP20" s="276"/>
      <c r="AQ20" s="276"/>
      <c r="AR20" s="276"/>
      <c r="AS20" s="276"/>
      <c r="AT20" s="277"/>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294"/>
      <c r="C21" s="294"/>
      <c r="D21" s="295"/>
      <c r="E21" s="265"/>
      <c r="F21" s="266"/>
      <c r="G21" s="266"/>
      <c r="H21" s="266"/>
      <c r="I21" s="266"/>
      <c r="J21" s="64" t="e">
        <f>IF(AND('Mapa final'!#REF!="Alta",'Mapa final'!#REF!="Leve"),CONCATENATE("R6C",'Mapa final'!#REF!),"")</f>
        <v>#REF!</v>
      </c>
      <c r="K21" s="65" t="e">
        <f>IF(AND('Mapa final'!#REF!="Alta",'Mapa final'!#REF!="Leve"),CONCATENATE("R6C",'Mapa final'!#REF!),"")</f>
        <v>#REF!</v>
      </c>
      <c r="L21" s="65" t="e">
        <f>IF(AND('Mapa final'!#REF!="Alta",'Mapa final'!#REF!="Leve"),CONCATENATE("R6C",'Mapa final'!#REF!),"")</f>
        <v>#REF!</v>
      </c>
      <c r="M21" s="65" t="e">
        <f>IF(AND('Mapa final'!#REF!="Alta",'Mapa final'!#REF!="Leve"),CONCATENATE("R6C",'Mapa final'!#REF!),"")</f>
        <v>#REF!</v>
      </c>
      <c r="N21" s="65" t="e">
        <f>IF(AND('Mapa final'!#REF!="Alta",'Mapa final'!#REF!="Leve"),CONCATENATE("R6C",'Mapa final'!#REF!),"")</f>
        <v>#REF!</v>
      </c>
      <c r="O21" s="66" t="e">
        <f>IF(AND('Mapa final'!#REF!="Alta",'Mapa final'!#REF!="Leve"),CONCATENATE("R6C",'Mapa final'!#REF!),"")</f>
        <v>#REF!</v>
      </c>
      <c r="P21" s="64" t="e">
        <f>IF(AND('Mapa final'!#REF!="Alta",'Mapa final'!#REF!="Menor"),CONCATENATE("R6C",'Mapa final'!#REF!),"")</f>
        <v>#REF!</v>
      </c>
      <c r="Q21" s="65" t="e">
        <f>IF(AND('Mapa final'!#REF!="Alta",'Mapa final'!#REF!="Menor"),CONCATENATE("R6C",'Mapa final'!#REF!),"")</f>
        <v>#REF!</v>
      </c>
      <c r="R21" s="65" t="e">
        <f>IF(AND('Mapa final'!#REF!="Alta",'Mapa final'!#REF!="Menor"),CONCATENATE("R6C",'Mapa final'!#REF!),"")</f>
        <v>#REF!</v>
      </c>
      <c r="S21" s="65" t="e">
        <f>IF(AND('Mapa final'!#REF!="Alta",'Mapa final'!#REF!="Menor"),CONCATENATE("R6C",'Mapa final'!#REF!),"")</f>
        <v>#REF!</v>
      </c>
      <c r="T21" s="65" t="e">
        <f>IF(AND('Mapa final'!#REF!="Alta",'Mapa final'!#REF!="Menor"),CONCATENATE("R6C",'Mapa final'!#REF!),"")</f>
        <v>#REF!</v>
      </c>
      <c r="U21" s="66" t="e">
        <f>IF(AND('Mapa final'!#REF!="Alta",'Mapa final'!#REF!="Menor"),CONCATENATE("R6C",'Mapa final'!#REF!),"")</f>
        <v>#REF!</v>
      </c>
      <c r="V21" s="49" t="e">
        <f>IF(AND('Mapa final'!#REF!="Alta",'Mapa final'!#REF!="Moderado"),CONCATENATE("R6C",'Mapa final'!#REF!),"")</f>
        <v>#REF!</v>
      </c>
      <c r="W21" s="50" t="e">
        <f>IF(AND('Mapa final'!#REF!="Alta",'Mapa final'!#REF!="Moderado"),CONCATENATE("R6C",'Mapa final'!#REF!),"")</f>
        <v>#REF!</v>
      </c>
      <c r="X21" s="50" t="e">
        <f>IF(AND('Mapa final'!#REF!="Alta",'Mapa final'!#REF!="Moderado"),CONCATENATE("R6C",'Mapa final'!#REF!),"")</f>
        <v>#REF!</v>
      </c>
      <c r="Y21" s="50" t="e">
        <f>IF(AND('Mapa final'!#REF!="Alta",'Mapa final'!#REF!="Moderado"),CONCATENATE("R6C",'Mapa final'!#REF!),"")</f>
        <v>#REF!</v>
      </c>
      <c r="Z21" s="50" t="e">
        <f>IF(AND('Mapa final'!#REF!="Alta",'Mapa final'!#REF!="Moderado"),CONCATENATE("R6C",'Mapa final'!#REF!),"")</f>
        <v>#REF!</v>
      </c>
      <c r="AA21" s="51" t="e">
        <f>IF(AND('Mapa final'!#REF!="Alta",'Mapa final'!#REF!="Moderado"),CONCATENATE("R6C",'Mapa final'!#REF!),"")</f>
        <v>#REF!</v>
      </c>
      <c r="AB21" s="49" t="e">
        <f>IF(AND('Mapa final'!#REF!="Alta",'Mapa final'!#REF!="Mayor"),CONCATENATE("R6C",'Mapa final'!#REF!),"")</f>
        <v>#REF!</v>
      </c>
      <c r="AC21" s="50" t="e">
        <f>IF(AND('Mapa final'!#REF!="Alta",'Mapa final'!#REF!="Mayor"),CONCATENATE("R6C",'Mapa final'!#REF!),"")</f>
        <v>#REF!</v>
      </c>
      <c r="AD21" s="50" t="e">
        <f>IF(AND('Mapa final'!#REF!="Alta",'Mapa final'!#REF!="Mayor"),CONCATENATE("R6C",'Mapa final'!#REF!),"")</f>
        <v>#REF!</v>
      </c>
      <c r="AE21" s="50" t="e">
        <f>IF(AND('Mapa final'!#REF!="Alta",'Mapa final'!#REF!="Mayor"),CONCATENATE("R6C",'Mapa final'!#REF!),"")</f>
        <v>#REF!</v>
      </c>
      <c r="AF21" s="50" t="e">
        <f>IF(AND('Mapa final'!#REF!="Alta",'Mapa final'!#REF!="Mayor"),CONCATENATE("R6C",'Mapa final'!#REF!),"")</f>
        <v>#REF!</v>
      </c>
      <c r="AG21" s="51" t="e">
        <f>IF(AND('Mapa final'!#REF!="Alta",'Mapa final'!#REF!="Mayor"),CONCATENATE("R6C",'Mapa final'!#REF!),"")</f>
        <v>#REF!</v>
      </c>
      <c r="AH21" s="52" t="e">
        <f>IF(AND('Mapa final'!#REF!="Alta",'Mapa final'!#REF!="Catastrófico"),CONCATENATE("R6C",'Mapa final'!#REF!),"")</f>
        <v>#REF!</v>
      </c>
      <c r="AI21" s="53" t="e">
        <f>IF(AND('Mapa final'!#REF!="Alta",'Mapa final'!#REF!="Catastrófico"),CONCATENATE("R6C",'Mapa final'!#REF!),"")</f>
        <v>#REF!</v>
      </c>
      <c r="AJ21" s="53" t="e">
        <f>IF(AND('Mapa final'!#REF!="Alta",'Mapa final'!#REF!="Catastrófico"),CONCATENATE("R6C",'Mapa final'!#REF!),"")</f>
        <v>#REF!</v>
      </c>
      <c r="AK21" s="53" t="e">
        <f>IF(AND('Mapa final'!#REF!="Alta",'Mapa final'!#REF!="Catastrófico"),CONCATENATE("R6C",'Mapa final'!#REF!),"")</f>
        <v>#REF!</v>
      </c>
      <c r="AL21" s="53" t="e">
        <f>IF(AND('Mapa final'!#REF!="Alta",'Mapa final'!#REF!="Catastrófico"),CONCATENATE("R6C",'Mapa final'!#REF!),"")</f>
        <v>#REF!</v>
      </c>
      <c r="AM21" s="54" t="e">
        <f>IF(AND('Mapa final'!#REF!="Alta",'Mapa final'!#REF!="Catastrófico"),CONCATENATE("R6C",'Mapa final'!#REF!),"")</f>
        <v>#REF!</v>
      </c>
      <c r="AN21" s="80"/>
      <c r="AO21" s="275"/>
      <c r="AP21" s="276"/>
      <c r="AQ21" s="276"/>
      <c r="AR21" s="276"/>
      <c r="AS21" s="276"/>
      <c r="AT21" s="277"/>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294"/>
      <c r="C22" s="294"/>
      <c r="D22" s="295"/>
      <c r="E22" s="265"/>
      <c r="F22" s="266"/>
      <c r="G22" s="266"/>
      <c r="H22" s="266"/>
      <c r="I22" s="266"/>
      <c r="J22" s="64" t="str">
        <f>IF(AND('Mapa final'!$Y$39="Alta",'Mapa final'!$AA$39="Leve"),CONCATENATE("R7C",'Mapa final'!$O$39),"")</f>
        <v/>
      </c>
      <c r="K22" s="65" t="str">
        <f>IF(AND('Mapa final'!$Y$40="Alta",'Mapa final'!$AA$40="Leve"),CONCATENATE("R7C",'Mapa final'!$O$40),"")</f>
        <v/>
      </c>
      <c r="L22" s="65" t="str">
        <f>IF(AND('Mapa final'!$Y$41="Alta",'Mapa final'!$AA$41="Leve"),CONCATENATE("R7C",'Mapa final'!$O$41),"")</f>
        <v/>
      </c>
      <c r="M22" s="65" t="str">
        <f>IF(AND('Mapa final'!$Y$42="Alta",'Mapa final'!$AA$42="Leve"),CONCATENATE("R7C",'Mapa final'!$O$42),"")</f>
        <v/>
      </c>
      <c r="N22" s="65" t="str">
        <f>IF(AND('Mapa final'!$Y$43="Alta",'Mapa final'!$AA$43="Leve"),CONCATENATE("R7C",'Mapa final'!$O$43),"")</f>
        <v/>
      </c>
      <c r="O22" s="66" t="str">
        <f>IF(AND('Mapa final'!$Y$44="Alta",'Mapa final'!$AA$44="Leve"),CONCATENATE("R7C",'Mapa final'!$O$44),"")</f>
        <v/>
      </c>
      <c r="P22" s="64" t="str">
        <f>IF(AND('Mapa final'!$Y$39="Alta",'Mapa final'!$AA$39="Menor"),CONCATENATE("R7C",'Mapa final'!$O$39),"")</f>
        <v/>
      </c>
      <c r="Q22" s="65" t="str">
        <f>IF(AND('Mapa final'!$Y$40="Alta",'Mapa final'!$AA$40="Menor"),CONCATENATE("R7C",'Mapa final'!$O$40),"")</f>
        <v/>
      </c>
      <c r="R22" s="65" t="str">
        <f>IF(AND('Mapa final'!$Y$41="Alta",'Mapa final'!$AA$41="Menor"),CONCATENATE("R7C",'Mapa final'!$O$41),"")</f>
        <v/>
      </c>
      <c r="S22" s="65" t="str">
        <f>IF(AND('Mapa final'!$Y$42="Alta",'Mapa final'!$AA$42="Menor"),CONCATENATE("R7C",'Mapa final'!$O$42),"")</f>
        <v/>
      </c>
      <c r="T22" s="65" t="str">
        <f>IF(AND('Mapa final'!$Y$43="Alta",'Mapa final'!$AA$43="Menor"),CONCATENATE("R7C",'Mapa final'!$O$43),"")</f>
        <v/>
      </c>
      <c r="U22" s="66" t="str">
        <f>IF(AND('Mapa final'!$Y$44="Alta",'Mapa final'!$AA$44="Menor"),CONCATENATE("R7C",'Mapa final'!$O$44),"")</f>
        <v/>
      </c>
      <c r="V22" s="49" t="str">
        <f>IF(AND('Mapa final'!$Y$39="Alta",'Mapa final'!$AA$39="Moderado"),CONCATENATE("R7C",'Mapa final'!$O$39),"")</f>
        <v/>
      </c>
      <c r="W22" s="50" t="str">
        <f>IF(AND('Mapa final'!$Y$40="Alta",'Mapa final'!$AA$40="Moderado"),CONCATENATE("R7C",'Mapa final'!$O$40),"")</f>
        <v/>
      </c>
      <c r="X22" s="50" t="str">
        <f>IF(AND('Mapa final'!$Y$41="Alta",'Mapa final'!$AA$41="Moderado"),CONCATENATE("R7C",'Mapa final'!$O$41),"")</f>
        <v/>
      </c>
      <c r="Y22" s="50" t="str">
        <f>IF(AND('Mapa final'!$Y$42="Alta",'Mapa final'!$AA$42="Moderado"),CONCATENATE("R7C",'Mapa final'!$O$42),"")</f>
        <v/>
      </c>
      <c r="Z22" s="50" t="str">
        <f>IF(AND('Mapa final'!$Y$43="Alta",'Mapa final'!$AA$43="Moderado"),CONCATENATE("R7C",'Mapa final'!$O$43),"")</f>
        <v/>
      </c>
      <c r="AA22" s="51" t="str">
        <f>IF(AND('Mapa final'!$Y$44="Alta",'Mapa final'!$AA$44="Moderado"),CONCATENATE("R7C",'Mapa final'!$O$44),"")</f>
        <v/>
      </c>
      <c r="AB22" s="49" t="str">
        <f>IF(AND('Mapa final'!$Y$39="Alta",'Mapa final'!$AA$39="Mayor"),CONCATENATE("R7C",'Mapa final'!$O$39),"")</f>
        <v/>
      </c>
      <c r="AC22" s="50" t="str">
        <f>IF(AND('Mapa final'!$Y$40="Alta",'Mapa final'!$AA$40="Mayor"),CONCATENATE("R7C",'Mapa final'!$O$40),"")</f>
        <v/>
      </c>
      <c r="AD22" s="50" t="str">
        <f>IF(AND('Mapa final'!$Y$41="Alta",'Mapa final'!$AA$41="Mayor"),CONCATENATE("R7C",'Mapa final'!$O$41),"")</f>
        <v/>
      </c>
      <c r="AE22" s="50" t="str">
        <f>IF(AND('Mapa final'!$Y$42="Alta",'Mapa final'!$AA$42="Mayor"),CONCATENATE("R7C",'Mapa final'!$O$42),"")</f>
        <v/>
      </c>
      <c r="AF22" s="50" t="str">
        <f>IF(AND('Mapa final'!$Y$43="Alta",'Mapa final'!$AA$43="Mayor"),CONCATENATE("R7C",'Mapa final'!$O$43),"")</f>
        <v/>
      </c>
      <c r="AG22" s="51" t="str">
        <f>IF(AND('Mapa final'!$Y$44="Alta",'Mapa final'!$AA$44="Mayor"),CONCATENATE("R7C",'Mapa final'!$O$44),"")</f>
        <v/>
      </c>
      <c r="AH22" s="52" t="str">
        <f>IF(AND('Mapa final'!$Y$39="Alta",'Mapa final'!$AA$39="Catastrófico"),CONCATENATE("R7C",'Mapa final'!$O$39),"")</f>
        <v/>
      </c>
      <c r="AI22" s="53" t="str">
        <f>IF(AND('Mapa final'!$Y$40="Alta",'Mapa final'!$AA$40="Catastrófico"),CONCATENATE("R7C",'Mapa final'!$O$40),"")</f>
        <v/>
      </c>
      <c r="AJ22" s="53" t="str">
        <f>IF(AND('Mapa final'!$Y$41="Alta",'Mapa final'!$AA$41="Catastrófico"),CONCATENATE("R7C",'Mapa final'!$O$41),"")</f>
        <v/>
      </c>
      <c r="AK22" s="53" t="str">
        <f>IF(AND('Mapa final'!$Y$42="Alta",'Mapa final'!$AA$42="Catastrófico"),CONCATENATE("R7C",'Mapa final'!$O$42),"")</f>
        <v/>
      </c>
      <c r="AL22" s="53" t="str">
        <f>IF(AND('Mapa final'!$Y$43="Alta",'Mapa final'!$AA$43="Catastrófico"),CONCATENATE("R7C",'Mapa final'!$O$43),"")</f>
        <v/>
      </c>
      <c r="AM22" s="54" t="str">
        <f>IF(AND('Mapa final'!$Y$44="Alta",'Mapa final'!$AA$44="Catastrófico"),CONCATENATE("R7C",'Mapa final'!$O$44),"")</f>
        <v/>
      </c>
      <c r="AN22" s="80"/>
      <c r="AO22" s="275"/>
      <c r="AP22" s="276"/>
      <c r="AQ22" s="276"/>
      <c r="AR22" s="276"/>
      <c r="AS22" s="276"/>
      <c r="AT22" s="277"/>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294"/>
      <c r="C23" s="294"/>
      <c r="D23" s="295"/>
      <c r="E23" s="265"/>
      <c r="F23" s="266"/>
      <c r="G23" s="266"/>
      <c r="H23" s="266"/>
      <c r="I23" s="266"/>
      <c r="J23" s="64" t="str">
        <f>IF(AND('Mapa final'!$Y$45="Alta",'Mapa final'!$AA$45="Leve"),CONCATENATE("R8C",'Mapa final'!$O$45),"")</f>
        <v/>
      </c>
      <c r="K23" s="65" t="str">
        <f>IF(AND('Mapa final'!$Y$46="Alta",'Mapa final'!$AA$46="Leve"),CONCATENATE("R8C",'Mapa final'!$O$46),"")</f>
        <v/>
      </c>
      <c r="L23" s="65" t="str">
        <f>IF(AND('Mapa final'!$Y$47="Alta",'Mapa final'!$AA$47="Leve"),CONCATENATE("R8C",'Mapa final'!$O$47),"")</f>
        <v/>
      </c>
      <c r="M23" s="65" t="str">
        <f>IF(AND('Mapa final'!$Y$48="Alta",'Mapa final'!$AA$48="Leve"),CONCATENATE("R8C",'Mapa final'!$O$48),"")</f>
        <v/>
      </c>
      <c r="N23" s="65" t="str">
        <f>IF(AND('Mapa final'!$Y$49="Alta",'Mapa final'!$AA$49="Leve"),CONCATENATE("R8C",'Mapa final'!$O$49),"")</f>
        <v/>
      </c>
      <c r="O23" s="66" t="str">
        <f>IF(AND('Mapa final'!$Y$50="Alta",'Mapa final'!$AA$50="Leve"),CONCATENATE("R8C",'Mapa final'!$O$50),"")</f>
        <v/>
      </c>
      <c r="P23" s="64" t="str">
        <f>IF(AND('Mapa final'!$Y$45="Alta",'Mapa final'!$AA$45="Menor"),CONCATENATE("R8C",'Mapa final'!$O$45),"")</f>
        <v/>
      </c>
      <c r="Q23" s="65" t="str">
        <f>IF(AND('Mapa final'!$Y$46="Alta",'Mapa final'!$AA$46="Menor"),CONCATENATE("R8C",'Mapa final'!$O$46),"")</f>
        <v/>
      </c>
      <c r="R23" s="65" t="str">
        <f>IF(AND('Mapa final'!$Y$47="Alta",'Mapa final'!$AA$47="Menor"),CONCATENATE("R8C",'Mapa final'!$O$47),"")</f>
        <v/>
      </c>
      <c r="S23" s="65" t="str">
        <f>IF(AND('Mapa final'!$Y$48="Alta",'Mapa final'!$AA$48="Menor"),CONCATENATE("R8C",'Mapa final'!$O$48),"")</f>
        <v/>
      </c>
      <c r="T23" s="65" t="str">
        <f>IF(AND('Mapa final'!$Y$49="Alta",'Mapa final'!$AA$49="Menor"),CONCATENATE("R8C",'Mapa final'!$O$49),"")</f>
        <v/>
      </c>
      <c r="U23" s="66" t="str">
        <f>IF(AND('Mapa final'!$Y$50="Alta",'Mapa final'!$AA$50="Menor"),CONCATENATE("R8C",'Mapa final'!$O$50),"")</f>
        <v/>
      </c>
      <c r="V23" s="49" t="str">
        <f>IF(AND('Mapa final'!$Y$45="Alta",'Mapa final'!$AA$45="Moderado"),CONCATENATE("R8C",'Mapa final'!$O$45),"")</f>
        <v/>
      </c>
      <c r="W23" s="50" t="str">
        <f>IF(AND('Mapa final'!$Y$46="Alta",'Mapa final'!$AA$46="Moderado"),CONCATENATE("R8C",'Mapa final'!$O$46),"")</f>
        <v/>
      </c>
      <c r="X23" s="50" t="str">
        <f>IF(AND('Mapa final'!$Y$47="Alta",'Mapa final'!$AA$47="Moderado"),CONCATENATE("R8C",'Mapa final'!$O$47),"")</f>
        <v/>
      </c>
      <c r="Y23" s="50" t="str">
        <f>IF(AND('Mapa final'!$Y$48="Alta",'Mapa final'!$AA$48="Moderado"),CONCATENATE("R8C",'Mapa final'!$O$48),"")</f>
        <v/>
      </c>
      <c r="Z23" s="50" t="str">
        <f>IF(AND('Mapa final'!$Y$49="Alta",'Mapa final'!$AA$49="Moderado"),CONCATENATE("R8C",'Mapa final'!$O$49),"")</f>
        <v/>
      </c>
      <c r="AA23" s="51" t="str">
        <f>IF(AND('Mapa final'!$Y$50="Alta",'Mapa final'!$AA$50="Moderado"),CONCATENATE("R8C",'Mapa final'!$O$50),"")</f>
        <v/>
      </c>
      <c r="AB23" s="49" t="str">
        <f>IF(AND('Mapa final'!$Y$45="Alta",'Mapa final'!$AA$45="Mayor"),CONCATENATE("R8C",'Mapa final'!$O$45),"")</f>
        <v/>
      </c>
      <c r="AC23" s="50" t="str">
        <f>IF(AND('Mapa final'!$Y$46="Alta",'Mapa final'!$AA$46="Mayor"),CONCATENATE("R8C",'Mapa final'!$O$46),"")</f>
        <v/>
      </c>
      <c r="AD23" s="50" t="str">
        <f>IF(AND('Mapa final'!$Y$47="Alta",'Mapa final'!$AA$47="Mayor"),CONCATENATE("R8C",'Mapa final'!$O$47),"")</f>
        <v/>
      </c>
      <c r="AE23" s="50" t="str">
        <f>IF(AND('Mapa final'!$Y$48="Alta",'Mapa final'!$AA$48="Mayor"),CONCATENATE("R8C",'Mapa final'!$O$48),"")</f>
        <v/>
      </c>
      <c r="AF23" s="50" t="str">
        <f>IF(AND('Mapa final'!$Y$49="Alta",'Mapa final'!$AA$49="Mayor"),CONCATENATE("R8C",'Mapa final'!$O$49),"")</f>
        <v/>
      </c>
      <c r="AG23" s="51" t="str">
        <f>IF(AND('Mapa final'!$Y$50="Alta",'Mapa final'!$AA$50="Mayor"),CONCATENATE("R8C",'Mapa final'!$O$50),"")</f>
        <v/>
      </c>
      <c r="AH23" s="52" t="str">
        <f>IF(AND('Mapa final'!$Y$45="Alta",'Mapa final'!$AA$45="Catastrófico"),CONCATENATE("R8C",'Mapa final'!$O$45),"")</f>
        <v/>
      </c>
      <c r="AI23" s="53" t="str">
        <f>IF(AND('Mapa final'!$Y$46="Alta",'Mapa final'!$AA$46="Catastrófico"),CONCATENATE("R8C",'Mapa final'!$O$46),"")</f>
        <v/>
      </c>
      <c r="AJ23" s="53" t="str">
        <f>IF(AND('Mapa final'!$Y$47="Alta",'Mapa final'!$AA$47="Catastrófico"),CONCATENATE("R8C",'Mapa final'!$O$47),"")</f>
        <v/>
      </c>
      <c r="AK23" s="53" t="str">
        <f>IF(AND('Mapa final'!$Y$48="Alta",'Mapa final'!$AA$48="Catastrófico"),CONCATENATE("R8C",'Mapa final'!$O$48),"")</f>
        <v/>
      </c>
      <c r="AL23" s="53" t="str">
        <f>IF(AND('Mapa final'!$Y$49="Alta",'Mapa final'!$AA$49="Catastrófico"),CONCATENATE("R8C",'Mapa final'!$O$49),"")</f>
        <v/>
      </c>
      <c r="AM23" s="54" t="str">
        <f>IF(AND('Mapa final'!$Y$50="Alta",'Mapa final'!$AA$50="Catastrófico"),CONCATENATE("R8C",'Mapa final'!$O$50),"")</f>
        <v/>
      </c>
      <c r="AN23" s="80"/>
      <c r="AO23" s="275"/>
      <c r="AP23" s="276"/>
      <c r="AQ23" s="276"/>
      <c r="AR23" s="276"/>
      <c r="AS23" s="276"/>
      <c r="AT23" s="277"/>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294"/>
      <c r="C24" s="294"/>
      <c r="D24" s="295"/>
      <c r="E24" s="265"/>
      <c r="F24" s="266"/>
      <c r="G24" s="266"/>
      <c r="H24" s="266"/>
      <c r="I24" s="266"/>
      <c r="J24" s="64" t="str">
        <f>IF(AND('Mapa final'!$Y$51="Alta",'Mapa final'!$AA$51="Leve"),CONCATENATE("R9C",'Mapa final'!$O$51),"")</f>
        <v/>
      </c>
      <c r="K24" s="65" t="str">
        <f>IF(AND('Mapa final'!$Y$52="Alta",'Mapa final'!$AA$52="Leve"),CONCATENATE("R9C",'Mapa final'!$O$52),"")</f>
        <v/>
      </c>
      <c r="L24" s="65" t="str">
        <f>IF(AND('Mapa final'!$Y$53="Alta",'Mapa final'!$AA$53="Leve"),CONCATENATE("R9C",'Mapa final'!$O$53),"")</f>
        <v/>
      </c>
      <c r="M24" s="65" t="str">
        <f>IF(AND('Mapa final'!$Y$54="Alta",'Mapa final'!$AA$54="Leve"),CONCATENATE("R9C",'Mapa final'!$O$54),"")</f>
        <v/>
      </c>
      <c r="N24" s="65" t="str">
        <f>IF(AND('Mapa final'!$Y$55="Alta",'Mapa final'!$AA$55="Leve"),CONCATENATE("R9C",'Mapa final'!$O$55),"")</f>
        <v/>
      </c>
      <c r="O24" s="66" t="str">
        <f>IF(AND('Mapa final'!$Y$56="Alta",'Mapa final'!$AA$56="Leve"),CONCATENATE("R9C",'Mapa final'!$O$56),"")</f>
        <v/>
      </c>
      <c r="P24" s="64" t="str">
        <f>IF(AND('Mapa final'!$Y$51="Alta",'Mapa final'!$AA$51="Menor"),CONCATENATE("R9C",'Mapa final'!$O$51),"")</f>
        <v/>
      </c>
      <c r="Q24" s="65" t="str">
        <f>IF(AND('Mapa final'!$Y$52="Alta",'Mapa final'!$AA$52="Menor"),CONCATENATE("R9C",'Mapa final'!$O$52),"")</f>
        <v/>
      </c>
      <c r="R24" s="65" t="str">
        <f>IF(AND('Mapa final'!$Y$53="Alta",'Mapa final'!$AA$53="Menor"),CONCATENATE("R9C",'Mapa final'!$O$53),"")</f>
        <v/>
      </c>
      <c r="S24" s="65" t="str">
        <f>IF(AND('Mapa final'!$Y$54="Alta",'Mapa final'!$AA$54="Menor"),CONCATENATE("R9C",'Mapa final'!$O$54),"")</f>
        <v/>
      </c>
      <c r="T24" s="65" t="str">
        <f>IF(AND('Mapa final'!$Y$55="Alta",'Mapa final'!$AA$55="Menor"),CONCATENATE("R9C",'Mapa final'!$O$55),"")</f>
        <v/>
      </c>
      <c r="U24" s="66" t="str">
        <f>IF(AND('Mapa final'!$Y$56="Alta",'Mapa final'!$AA$56="Menor"),CONCATENATE("R9C",'Mapa final'!$O$56),"")</f>
        <v/>
      </c>
      <c r="V24" s="49" t="str">
        <f>IF(AND('Mapa final'!$Y$51="Alta",'Mapa final'!$AA$51="Moderado"),CONCATENATE("R9C",'Mapa final'!$O$51),"")</f>
        <v/>
      </c>
      <c r="W24" s="50" t="str">
        <f>IF(AND('Mapa final'!$Y$52="Alta",'Mapa final'!$AA$52="Moderado"),CONCATENATE("R9C",'Mapa final'!$O$52),"")</f>
        <v/>
      </c>
      <c r="X24" s="50" t="str">
        <f>IF(AND('Mapa final'!$Y$53="Alta",'Mapa final'!$AA$53="Moderado"),CONCATENATE("R9C",'Mapa final'!$O$53),"")</f>
        <v/>
      </c>
      <c r="Y24" s="50" t="str">
        <f>IF(AND('Mapa final'!$Y$54="Alta",'Mapa final'!$AA$54="Moderado"),CONCATENATE("R9C",'Mapa final'!$O$54),"")</f>
        <v/>
      </c>
      <c r="Z24" s="50" t="str">
        <f>IF(AND('Mapa final'!$Y$55="Alta",'Mapa final'!$AA$55="Moderado"),CONCATENATE("R9C",'Mapa final'!$O$55),"")</f>
        <v/>
      </c>
      <c r="AA24" s="51" t="str">
        <f>IF(AND('Mapa final'!$Y$56="Alta",'Mapa final'!$AA$56="Moderado"),CONCATENATE("R9C",'Mapa final'!$O$56),"")</f>
        <v/>
      </c>
      <c r="AB24" s="49" t="str">
        <f>IF(AND('Mapa final'!$Y$51="Alta",'Mapa final'!$AA$51="Mayor"),CONCATENATE("R9C",'Mapa final'!$O$51),"")</f>
        <v/>
      </c>
      <c r="AC24" s="50" t="str">
        <f>IF(AND('Mapa final'!$Y$52="Alta",'Mapa final'!$AA$52="Mayor"),CONCATENATE("R9C",'Mapa final'!$O$52),"")</f>
        <v/>
      </c>
      <c r="AD24" s="50" t="str">
        <f>IF(AND('Mapa final'!$Y$53="Alta",'Mapa final'!$AA$53="Mayor"),CONCATENATE("R9C",'Mapa final'!$O$53),"")</f>
        <v/>
      </c>
      <c r="AE24" s="50" t="str">
        <f>IF(AND('Mapa final'!$Y$54="Alta",'Mapa final'!$AA$54="Mayor"),CONCATENATE("R9C",'Mapa final'!$O$54),"")</f>
        <v/>
      </c>
      <c r="AF24" s="50" t="str">
        <f>IF(AND('Mapa final'!$Y$55="Alta",'Mapa final'!$AA$55="Mayor"),CONCATENATE("R9C",'Mapa final'!$O$55),"")</f>
        <v/>
      </c>
      <c r="AG24" s="51" t="str">
        <f>IF(AND('Mapa final'!$Y$56="Alta",'Mapa final'!$AA$56="Mayor"),CONCATENATE("R9C",'Mapa final'!$O$56),"")</f>
        <v/>
      </c>
      <c r="AH24" s="52" t="str">
        <f>IF(AND('Mapa final'!$Y$51="Alta",'Mapa final'!$AA$51="Catastrófico"),CONCATENATE("R9C",'Mapa final'!$O$51),"")</f>
        <v/>
      </c>
      <c r="AI24" s="53" t="str">
        <f>IF(AND('Mapa final'!$Y$52="Alta",'Mapa final'!$AA$52="Catastrófico"),CONCATENATE("R9C",'Mapa final'!$O$52),"")</f>
        <v/>
      </c>
      <c r="AJ24" s="53" t="str">
        <f>IF(AND('Mapa final'!$Y$53="Alta",'Mapa final'!$AA$53="Catastrófico"),CONCATENATE("R9C",'Mapa final'!$O$53),"")</f>
        <v/>
      </c>
      <c r="AK24" s="53" t="str">
        <f>IF(AND('Mapa final'!$Y$54="Alta",'Mapa final'!$AA$54="Catastrófico"),CONCATENATE("R9C",'Mapa final'!$O$54),"")</f>
        <v/>
      </c>
      <c r="AL24" s="53" t="str">
        <f>IF(AND('Mapa final'!$Y$55="Alta",'Mapa final'!$AA$55="Catastrófico"),CONCATENATE("R9C",'Mapa final'!$O$55),"")</f>
        <v/>
      </c>
      <c r="AM24" s="54" t="str">
        <f>IF(AND('Mapa final'!$Y$56="Alta",'Mapa final'!$AA$56="Catastrófico"),CONCATENATE("R9C",'Mapa final'!$O$56),"")</f>
        <v/>
      </c>
      <c r="AN24" s="80"/>
      <c r="AO24" s="275"/>
      <c r="AP24" s="276"/>
      <c r="AQ24" s="276"/>
      <c r="AR24" s="276"/>
      <c r="AS24" s="276"/>
      <c r="AT24" s="277"/>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294"/>
      <c r="C25" s="294"/>
      <c r="D25" s="295"/>
      <c r="E25" s="268"/>
      <c r="F25" s="269"/>
      <c r="G25" s="269"/>
      <c r="H25" s="269"/>
      <c r="I25" s="269"/>
      <c r="J25" s="67" t="str">
        <f>IF(AND('Mapa final'!$Y$57="Alta",'Mapa final'!$AA$57="Leve"),CONCATENATE("R10C",'Mapa final'!$O$57),"")</f>
        <v/>
      </c>
      <c r="K25" s="68" t="str">
        <f>IF(AND('Mapa final'!$Y$58="Alta",'Mapa final'!$AA$58="Leve"),CONCATENATE("R10C",'Mapa final'!$O$58),"")</f>
        <v/>
      </c>
      <c r="L25" s="68" t="str">
        <f>IF(AND('Mapa final'!$Y$59="Alta",'Mapa final'!$AA$59="Leve"),CONCATENATE("R10C",'Mapa final'!$O$59),"")</f>
        <v/>
      </c>
      <c r="M25" s="68" t="str">
        <f>IF(AND('Mapa final'!$Y$60="Alta",'Mapa final'!$AA$60="Leve"),CONCATENATE("R10C",'Mapa final'!$O$60),"")</f>
        <v/>
      </c>
      <c r="N25" s="68" t="str">
        <f>IF(AND('Mapa final'!$Y$61="Alta",'Mapa final'!$AA$61="Leve"),CONCATENATE("R10C",'Mapa final'!$O$61),"")</f>
        <v/>
      </c>
      <c r="O25" s="69" t="str">
        <f>IF(AND('Mapa final'!$Y$62="Alta",'Mapa final'!$AA$62="Leve"),CONCATENATE("R10C",'Mapa final'!$O$62),"")</f>
        <v/>
      </c>
      <c r="P25" s="67" t="str">
        <f>IF(AND('Mapa final'!$Y$57="Alta",'Mapa final'!$AA$57="Menor"),CONCATENATE("R10C",'Mapa final'!$O$57),"")</f>
        <v/>
      </c>
      <c r="Q25" s="68" t="str">
        <f>IF(AND('Mapa final'!$Y$58="Alta",'Mapa final'!$AA$58="Menor"),CONCATENATE("R10C",'Mapa final'!$O$58),"")</f>
        <v/>
      </c>
      <c r="R25" s="68" t="str">
        <f>IF(AND('Mapa final'!$Y$59="Alta",'Mapa final'!$AA$59="Menor"),CONCATENATE("R10C",'Mapa final'!$O$59),"")</f>
        <v/>
      </c>
      <c r="S25" s="68" t="str">
        <f>IF(AND('Mapa final'!$Y$60="Alta",'Mapa final'!$AA$60="Menor"),CONCATENATE("R10C",'Mapa final'!$O$60),"")</f>
        <v/>
      </c>
      <c r="T25" s="68" t="str">
        <f>IF(AND('Mapa final'!$Y$61="Alta",'Mapa final'!$AA$61="Menor"),CONCATENATE("R10C",'Mapa final'!$O$61),"")</f>
        <v/>
      </c>
      <c r="U25" s="69" t="str">
        <f>IF(AND('Mapa final'!$Y$62="Alta",'Mapa final'!$AA$62="Menor"),CONCATENATE("R10C",'Mapa final'!$O$62),"")</f>
        <v/>
      </c>
      <c r="V25" s="55" t="str">
        <f>IF(AND('Mapa final'!$Y$57="Alta",'Mapa final'!$AA$57="Moderado"),CONCATENATE("R10C",'Mapa final'!$O$57),"")</f>
        <v/>
      </c>
      <c r="W25" s="56" t="str">
        <f>IF(AND('Mapa final'!$Y$58="Alta",'Mapa final'!$AA$58="Moderado"),CONCATENATE("R10C",'Mapa final'!$O$58),"")</f>
        <v/>
      </c>
      <c r="X25" s="56" t="str">
        <f>IF(AND('Mapa final'!$Y$59="Alta",'Mapa final'!$AA$59="Moderado"),CONCATENATE("R10C",'Mapa final'!$O$59),"")</f>
        <v/>
      </c>
      <c r="Y25" s="56" t="str">
        <f>IF(AND('Mapa final'!$Y$60="Alta",'Mapa final'!$AA$60="Moderado"),CONCATENATE("R10C",'Mapa final'!$O$60),"")</f>
        <v/>
      </c>
      <c r="Z25" s="56" t="str">
        <f>IF(AND('Mapa final'!$Y$61="Alta",'Mapa final'!$AA$61="Moderado"),CONCATENATE("R10C",'Mapa final'!$O$61),"")</f>
        <v/>
      </c>
      <c r="AA25" s="57" t="str">
        <f>IF(AND('Mapa final'!$Y$62="Alta",'Mapa final'!$AA$62="Moderado"),CONCATENATE("R10C",'Mapa final'!$O$62),"")</f>
        <v/>
      </c>
      <c r="AB25" s="55" t="str">
        <f>IF(AND('Mapa final'!$Y$57="Alta",'Mapa final'!$AA$57="Mayor"),CONCATENATE("R10C",'Mapa final'!$O$57),"")</f>
        <v/>
      </c>
      <c r="AC25" s="56" t="str">
        <f>IF(AND('Mapa final'!$Y$58="Alta",'Mapa final'!$AA$58="Mayor"),CONCATENATE("R10C",'Mapa final'!$O$58),"")</f>
        <v/>
      </c>
      <c r="AD25" s="56" t="str">
        <f>IF(AND('Mapa final'!$Y$59="Alta",'Mapa final'!$AA$59="Mayor"),CONCATENATE("R10C",'Mapa final'!$O$59),"")</f>
        <v/>
      </c>
      <c r="AE25" s="56" t="str">
        <f>IF(AND('Mapa final'!$Y$60="Alta",'Mapa final'!$AA$60="Mayor"),CONCATENATE("R10C",'Mapa final'!$O$60),"")</f>
        <v/>
      </c>
      <c r="AF25" s="56" t="str">
        <f>IF(AND('Mapa final'!$Y$61="Alta",'Mapa final'!$AA$61="Mayor"),CONCATENATE("R10C",'Mapa final'!$O$61),"")</f>
        <v/>
      </c>
      <c r="AG25" s="57" t="str">
        <f>IF(AND('Mapa final'!$Y$62="Alta",'Mapa final'!$AA$62="Mayor"),CONCATENATE("R10C",'Mapa final'!$O$62),"")</f>
        <v/>
      </c>
      <c r="AH25" s="58" t="str">
        <f>IF(AND('Mapa final'!$Y$57="Alta",'Mapa final'!$AA$57="Catastrófico"),CONCATENATE("R10C",'Mapa final'!$O$57),"")</f>
        <v/>
      </c>
      <c r="AI25" s="59" t="str">
        <f>IF(AND('Mapa final'!$Y$58="Alta",'Mapa final'!$AA$58="Catastrófico"),CONCATENATE("R10C",'Mapa final'!$O$58),"")</f>
        <v/>
      </c>
      <c r="AJ25" s="59" t="str">
        <f>IF(AND('Mapa final'!$Y$59="Alta",'Mapa final'!$AA$59="Catastrófico"),CONCATENATE("R10C",'Mapa final'!$O$59),"")</f>
        <v/>
      </c>
      <c r="AK25" s="59" t="str">
        <f>IF(AND('Mapa final'!$Y$60="Alta",'Mapa final'!$AA$60="Catastrófico"),CONCATENATE("R10C",'Mapa final'!$O$60),"")</f>
        <v/>
      </c>
      <c r="AL25" s="59" t="str">
        <f>IF(AND('Mapa final'!$Y$61="Alta",'Mapa final'!$AA$61="Catastrófico"),CONCATENATE("R10C",'Mapa final'!$O$61),"")</f>
        <v/>
      </c>
      <c r="AM25" s="60" t="str">
        <f>IF(AND('Mapa final'!$Y$62="Alta",'Mapa final'!$AA$62="Catastrófico"),CONCATENATE("R10C",'Mapa final'!$O$62),"")</f>
        <v/>
      </c>
      <c r="AN25" s="80"/>
      <c r="AO25" s="278"/>
      <c r="AP25" s="279"/>
      <c r="AQ25" s="279"/>
      <c r="AR25" s="279"/>
      <c r="AS25" s="279"/>
      <c r="AT25" s="2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294"/>
      <c r="C26" s="294"/>
      <c r="D26" s="295"/>
      <c r="E26" s="262" t="s">
        <v>117</v>
      </c>
      <c r="F26" s="263"/>
      <c r="G26" s="263"/>
      <c r="H26" s="263"/>
      <c r="I26" s="264"/>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305" t="s">
        <v>81</v>
      </c>
      <c r="AP26" s="306"/>
      <c r="AQ26" s="306"/>
      <c r="AR26" s="306"/>
      <c r="AS26" s="306"/>
      <c r="AT26" s="307"/>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294"/>
      <c r="C27" s="294"/>
      <c r="D27" s="295"/>
      <c r="E27" s="281"/>
      <c r="F27" s="266"/>
      <c r="G27" s="266"/>
      <c r="H27" s="266"/>
      <c r="I27" s="267"/>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80"/>
      <c r="AO27" s="308"/>
      <c r="AP27" s="309"/>
      <c r="AQ27" s="309"/>
      <c r="AR27" s="309"/>
      <c r="AS27" s="309"/>
      <c r="AT27" s="31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294"/>
      <c r="C28" s="294"/>
      <c r="D28" s="295"/>
      <c r="E28" s="265"/>
      <c r="F28" s="266"/>
      <c r="G28" s="266"/>
      <c r="H28" s="266"/>
      <c r="I28" s="267"/>
      <c r="J28" s="64" t="str">
        <f>IF(AND('Mapa final'!$Y$22="Media",'Mapa final'!$AA$22="Leve"),CONCATENATE("R3C",'Mapa final'!$O$22),"")</f>
        <v/>
      </c>
      <c r="K28" s="65" t="str">
        <f>IF(AND('Mapa final'!$Y$23="Media",'Mapa final'!$AA$23="Leve"),CONCATENATE("R3C",'Mapa final'!$O$23),"")</f>
        <v/>
      </c>
      <c r="L28" s="65" t="str">
        <f>IF(AND('Mapa final'!$Y$24="Media",'Mapa final'!$AA$24="Leve"),CONCATENATE("R3C",'Mapa final'!$O$24),"")</f>
        <v/>
      </c>
      <c r="M28" s="65" t="str">
        <f>IF(AND('Mapa final'!$Y$25="Media",'Mapa final'!$AA$25="Leve"),CONCATENATE("R3C",'Mapa final'!$O$25),"")</f>
        <v/>
      </c>
      <c r="N28" s="65" t="str">
        <f>IF(AND('Mapa final'!$Y$26="Media",'Mapa final'!$AA$26="Leve"),CONCATENATE("R3C",'Mapa final'!$O$26),"")</f>
        <v/>
      </c>
      <c r="O28" s="66" t="str">
        <f>IF(AND('Mapa final'!$Y$27="Media",'Mapa final'!$AA$27="Leve"),CONCATENATE("R3C",'Mapa final'!$O$27),"")</f>
        <v/>
      </c>
      <c r="P28" s="64" t="str">
        <f>IF(AND('Mapa final'!$Y$22="Media",'Mapa final'!$AA$22="Menor"),CONCATENATE("R3C",'Mapa final'!$O$22),"")</f>
        <v>R3C1</v>
      </c>
      <c r="Q28" s="65" t="str">
        <f>IF(AND('Mapa final'!$Y$23="Media",'Mapa final'!$AA$23="Menor"),CONCATENATE("R3C",'Mapa final'!$O$23),"")</f>
        <v/>
      </c>
      <c r="R28" s="65" t="str">
        <f>IF(AND('Mapa final'!$Y$24="Media",'Mapa final'!$AA$24="Menor"),CONCATENATE("R3C",'Mapa final'!$O$24),"")</f>
        <v/>
      </c>
      <c r="S28" s="65" t="str">
        <f>IF(AND('Mapa final'!$Y$25="Media",'Mapa final'!$AA$25="Menor"),CONCATENATE("R3C",'Mapa final'!$O$25),"")</f>
        <v/>
      </c>
      <c r="T28" s="65" t="str">
        <f>IF(AND('Mapa final'!$Y$26="Media",'Mapa final'!$AA$26="Menor"),CONCATENATE("R3C",'Mapa final'!$O$26),"")</f>
        <v/>
      </c>
      <c r="U28" s="66" t="str">
        <f>IF(AND('Mapa final'!$Y$27="Media",'Mapa final'!$AA$27="Menor"),CONCATENATE("R3C",'Mapa final'!$O$27),"")</f>
        <v/>
      </c>
      <c r="V28" s="64" t="str">
        <f>IF(AND('Mapa final'!$Y$22="Media",'Mapa final'!$AA$22="Moderado"),CONCATENATE("R3C",'Mapa final'!$O$22),"")</f>
        <v/>
      </c>
      <c r="W28" s="65" t="str">
        <f>IF(AND('Mapa final'!$Y$23="Media",'Mapa final'!$AA$23="Moderado"),CONCATENATE("R3C",'Mapa final'!$O$23),"")</f>
        <v/>
      </c>
      <c r="X28" s="65" t="str">
        <f>IF(AND('Mapa final'!$Y$24="Media",'Mapa final'!$AA$24="Moderado"),CONCATENATE("R3C",'Mapa final'!$O$24),"")</f>
        <v/>
      </c>
      <c r="Y28" s="65" t="str">
        <f>IF(AND('Mapa final'!$Y$25="Media",'Mapa final'!$AA$25="Moderado"),CONCATENATE("R3C",'Mapa final'!$O$25),"")</f>
        <v/>
      </c>
      <c r="Z28" s="65" t="str">
        <f>IF(AND('Mapa final'!$Y$26="Media",'Mapa final'!$AA$26="Moderado"),CONCATENATE("R3C",'Mapa final'!$O$26),"")</f>
        <v/>
      </c>
      <c r="AA28" s="66" t="str">
        <f>IF(AND('Mapa final'!$Y$27="Media",'Mapa final'!$AA$27="Moderado"),CONCATENATE("R3C",'Mapa final'!$O$27),"")</f>
        <v/>
      </c>
      <c r="AB28" s="49" t="str">
        <f>IF(AND('Mapa final'!$Y$22="Media",'Mapa final'!$AA$22="Mayor"),CONCATENATE("R3C",'Mapa final'!$O$22),"")</f>
        <v/>
      </c>
      <c r="AC28" s="50" t="str">
        <f>IF(AND('Mapa final'!$Y$23="Media",'Mapa final'!$AA$23="Mayor"),CONCATENATE("R3C",'Mapa final'!$O$23),"")</f>
        <v/>
      </c>
      <c r="AD28" s="50" t="str">
        <f>IF(AND('Mapa final'!$Y$24="Media",'Mapa final'!$AA$24="Mayor"),CONCATENATE("R3C",'Mapa final'!$O$24),"")</f>
        <v/>
      </c>
      <c r="AE28" s="50" t="str">
        <f>IF(AND('Mapa final'!$Y$25="Media",'Mapa final'!$AA$25="Mayor"),CONCATENATE("R3C",'Mapa final'!$O$25),"")</f>
        <v/>
      </c>
      <c r="AF28" s="50" t="str">
        <f>IF(AND('Mapa final'!$Y$26="Media",'Mapa final'!$AA$26="Mayor"),CONCATENATE("R3C",'Mapa final'!$O$26),"")</f>
        <v/>
      </c>
      <c r="AG28" s="51" t="str">
        <f>IF(AND('Mapa final'!$Y$27="Media",'Mapa final'!$AA$27="Mayor"),CONCATENATE("R3C",'Mapa final'!$O$27),"")</f>
        <v/>
      </c>
      <c r="AH28" s="52" t="str">
        <f>IF(AND('Mapa final'!$Y$22="Media",'Mapa final'!$AA$22="Catastrófico"),CONCATENATE("R3C",'Mapa final'!$O$22),"")</f>
        <v/>
      </c>
      <c r="AI28" s="53" t="str">
        <f>IF(AND('Mapa final'!$Y$23="Media",'Mapa final'!$AA$23="Catastrófico"),CONCATENATE("R3C",'Mapa final'!$O$23),"")</f>
        <v/>
      </c>
      <c r="AJ28" s="53" t="str">
        <f>IF(AND('Mapa final'!$Y$24="Media",'Mapa final'!$AA$24="Catastrófico"),CONCATENATE("R3C",'Mapa final'!$O$24),"")</f>
        <v/>
      </c>
      <c r="AK28" s="53" t="str">
        <f>IF(AND('Mapa final'!$Y$25="Media",'Mapa final'!$AA$25="Catastrófico"),CONCATENATE("R3C",'Mapa final'!$O$25),"")</f>
        <v/>
      </c>
      <c r="AL28" s="53" t="str">
        <f>IF(AND('Mapa final'!$Y$26="Media",'Mapa final'!$AA$26="Catastrófico"),CONCATENATE("R3C",'Mapa final'!$O$26),"")</f>
        <v/>
      </c>
      <c r="AM28" s="54" t="str">
        <f>IF(AND('Mapa final'!$Y$27="Media",'Mapa final'!$AA$27="Catastrófico"),CONCATENATE("R3C",'Mapa final'!$O$27),"")</f>
        <v/>
      </c>
      <c r="AN28" s="80"/>
      <c r="AO28" s="308"/>
      <c r="AP28" s="309"/>
      <c r="AQ28" s="309"/>
      <c r="AR28" s="309"/>
      <c r="AS28" s="309"/>
      <c r="AT28" s="31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294"/>
      <c r="C29" s="294"/>
      <c r="D29" s="295"/>
      <c r="E29" s="265"/>
      <c r="F29" s="266"/>
      <c r="G29" s="266"/>
      <c r="H29" s="266"/>
      <c r="I29" s="267"/>
      <c r="J29" s="64" t="str">
        <f>IF(AND('Mapa final'!$Y$28="Media",'Mapa final'!$AA$28="Leve"),CONCATENATE("R4C",'Mapa final'!$O$28),"")</f>
        <v/>
      </c>
      <c r="K29" s="65" t="e">
        <f>IF(AND('Mapa final'!#REF!="Media",'Mapa final'!#REF!="Leve"),CONCATENATE("R4C",'Mapa final'!#REF!),"")</f>
        <v>#REF!</v>
      </c>
      <c r="L29" s="65" t="str">
        <f>IF(AND('Mapa final'!$Y$29="Media",'Mapa final'!$AA$29="Leve"),CONCATENATE("R4C",'Mapa final'!$O$29),"")</f>
        <v/>
      </c>
      <c r="M29" s="65" t="str">
        <f>IF(AND('Mapa final'!$Y$30="Media",'Mapa final'!$AA$30="Leve"),CONCATENATE("R4C",'Mapa final'!$O$30),"")</f>
        <v/>
      </c>
      <c r="N29" s="65" t="str">
        <f>IF(AND('Mapa final'!$Y$31="Media",'Mapa final'!$AA$31="Leve"),CONCATENATE("R4C",'Mapa final'!$O$31),"")</f>
        <v/>
      </c>
      <c r="O29" s="66" t="str">
        <f>IF(AND('Mapa final'!$Y$32="Media",'Mapa final'!$AA$32="Leve"),CONCATENATE("R4C",'Mapa final'!$O$32),"")</f>
        <v/>
      </c>
      <c r="P29" s="64" t="str">
        <f>IF(AND('Mapa final'!$Y$28="Media",'Mapa final'!$AA$28="Menor"),CONCATENATE("R4C",'Mapa final'!$O$28),"")</f>
        <v/>
      </c>
      <c r="Q29" s="65" t="e">
        <f>IF(AND('Mapa final'!#REF!="Media",'Mapa final'!#REF!="Menor"),CONCATENATE("R4C",'Mapa final'!#REF!),"")</f>
        <v>#REF!</v>
      </c>
      <c r="R29" s="65" t="str">
        <f>IF(AND('Mapa final'!$Y$29="Media",'Mapa final'!$AA$29="Menor"),CONCATENATE("R4C",'Mapa final'!$O$29),"")</f>
        <v/>
      </c>
      <c r="S29" s="65" t="str">
        <f>IF(AND('Mapa final'!$Y$30="Media",'Mapa final'!$AA$30="Menor"),CONCATENATE("R4C",'Mapa final'!$O$30),"")</f>
        <v/>
      </c>
      <c r="T29" s="65" t="str">
        <f>IF(AND('Mapa final'!$Y$31="Media",'Mapa final'!$AA$31="Menor"),CONCATENATE("R4C",'Mapa final'!$O$31),"")</f>
        <v/>
      </c>
      <c r="U29" s="66" t="str">
        <f>IF(AND('Mapa final'!$Y$32="Media",'Mapa final'!$AA$32="Menor"),CONCATENATE("R4C",'Mapa final'!$O$32),"")</f>
        <v/>
      </c>
      <c r="V29" s="64" t="str">
        <f>IF(AND('Mapa final'!$Y$28="Media",'Mapa final'!$AA$28="Moderado"),CONCATENATE("R4C",'Mapa final'!$O$28),"")</f>
        <v/>
      </c>
      <c r="W29" s="65" t="e">
        <f>IF(AND('Mapa final'!#REF!="Media",'Mapa final'!#REF!="Moderado"),CONCATENATE("R4C",'Mapa final'!#REF!),"")</f>
        <v>#REF!</v>
      </c>
      <c r="X29" s="65" t="str">
        <f>IF(AND('Mapa final'!$Y$29="Media",'Mapa final'!$AA$29="Moderado"),CONCATENATE("R4C",'Mapa final'!$O$29),"")</f>
        <v/>
      </c>
      <c r="Y29" s="65" t="str">
        <f>IF(AND('Mapa final'!$Y$30="Media",'Mapa final'!$AA$30="Moderado"),CONCATENATE("R4C",'Mapa final'!$O$30),"")</f>
        <v/>
      </c>
      <c r="Z29" s="65" t="str">
        <f>IF(AND('Mapa final'!$Y$31="Media",'Mapa final'!$AA$31="Moderado"),CONCATENATE("R4C",'Mapa final'!$O$31),"")</f>
        <v/>
      </c>
      <c r="AA29" s="66" t="str">
        <f>IF(AND('Mapa final'!$Y$32="Media",'Mapa final'!$AA$32="Moderado"),CONCATENATE("R4C",'Mapa final'!$O$32),"")</f>
        <v/>
      </c>
      <c r="AB29" s="49" t="str">
        <f>IF(AND('Mapa final'!$Y$28="Media",'Mapa final'!$AA$28="Mayor"),CONCATENATE("R4C",'Mapa final'!$O$28),"")</f>
        <v/>
      </c>
      <c r="AC29" s="50" t="e">
        <f>IF(AND('Mapa final'!#REF!="Media",'Mapa final'!#REF!="Mayor"),CONCATENATE("R4C",'Mapa final'!#REF!),"")</f>
        <v>#REF!</v>
      </c>
      <c r="AD29" s="50" t="str">
        <f>IF(AND('Mapa final'!$Y$29="Media",'Mapa final'!$AA$29="Mayor"),CONCATENATE("R4C",'Mapa final'!$O$29),"")</f>
        <v/>
      </c>
      <c r="AE29" s="50" t="str">
        <f>IF(AND('Mapa final'!$Y$30="Media",'Mapa final'!$AA$30="Mayor"),CONCATENATE("R4C",'Mapa final'!$O$30),"")</f>
        <v/>
      </c>
      <c r="AF29" s="50" t="str">
        <f>IF(AND('Mapa final'!$Y$31="Media",'Mapa final'!$AA$31="Mayor"),CONCATENATE("R4C",'Mapa final'!$O$31),"")</f>
        <v/>
      </c>
      <c r="AG29" s="51" t="str">
        <f>IF(AND('Mapa final'!$Y$32="Media",'Mapa final'!$AA$32="Mayor"),CONCATENATE("R4C",'Mapa final'!$O$32),"")</f>
        <v/>
      </c>
      <c r="AH29" s="52" t="str">
        <f>IF(AND('Mapa final'!$Y$28="Media",'Mapa final'!$AA$28="Catastrófico"),CONCATENATE("R4C",'Mapa final'!$O$28),"")</f>
        <v/>
      </c>
      <c r="AI29" s="53" t="e">
        <f>IF(AND('Mapa final'!#REF!="Media",'Mapa final'!#REF!="Catastrófico"),CONCATENATE("R4C",'Mapa final'!#REF!),"")</f>
        <v>#REF!</v>
      </c>
      <c r="AJ29" s="53" t="str">
        <f>IF(AND('Mapa final'!$Y$29="Media",'Mapa final'!$AA$29="Catastrófico"),CONCATENATE("R4C",'Mapa final'!$O$29),"")</f>
        <v/>
      </c>
      <c r="AK29" s="53" t="str">
        <f>IF(AND('Mapa final'!$Y$30="Media",'Mapa final'!$AA$30="Catastrófico"),CONCATENATE("R4C",'Mapa final'!$O$30),"")</f>
        <v/>
      </c>
      <c r="AL29" s="53" t="str">
        <f>IF(AND('Mapa final'!$Y$31="Media",'Mapa final'!$AA$31="Catastrófico"),CONCATENATE("R4C",'Mapa final'!$O$31),"")</f>
        <v/>
      </c>
      <c r="AM29" s="54" t="str">
        <f>IF(AND('Mapa final'!$Y$32="Media",'Mapa final'!$AA$32="Catastrófico"),CONCATENATE("R4C",'Mapa final'!$O$32),"")</f>
        <v/>
      </c>
      <c r="AN29" s="80"/>
      <c r="AO29" s="308"/>
      <c r="AP29" s="309"/>
      <c r="AQ29" s="309"/>
      <c r="AR29" s="309"/>
      <c r="AS29" s="309"/>
      <c r="AT29" s="31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294"/>
      <c r="C30" s="294"/>
      <c r="D30" s="295"/>
      <c r="E30" s="265"/>
      <c r="F30" s="266"/>
      <c r="G30" s="266"/>
      <c r="H30" s="266"/>
      <c r="I30" s="267"/>
      <c r="J30" s="64" t="str">
        <f>IF(AND('Mapa final'!$Y$33="Media",'Mapa final'!$AA$33="Leve"),CONCATENATE("R5C",'Mapa final'!$O$33),"")</f>
        <v/>
      </c>
      <c r="K30" s="65" t="str">
        <f>IF(AND('Mapa final'!$Y$34="Media",'Mapa final'!$AA$34="Leve"),CONCATENATE("R5C",'Mapa final'!$O$34),"")</f>
        <v/>
      </c>
      <c r="L30" s="65" t="str">
        <f>IF(AND('Mapa final'!$Y$35="Media",'Mapa final'!$AA$35="Leve"),CONCATENATE("R5C",'Mapa final'!$O$35),"")</f>
        <v/>
      </c>
      <c r="M30" s="65" t="str">
        <f>IF(AND('Mapa final'!$Y$36="Media",'Mapa final'!$AA$36="Leve"),CONCATENATE("R5C",'Mapa final'!$O$36),"")</f>
        <v/>
      </c>
      <c r="N30" s="65" t="str">
        <f>IF(AND('Mapa final'!$Y$37="Media",'Mapa final'!$AA$37="Leve"),CONCATENATE("R5C",'Mapa final'!$O$37),"")</f>
        <v/>
      </c>
      <c r="O30" s="66" t="str">
        <f>IF(AND('Mapa final'!$Y$38="Media",'Mapa final'!$AA$38="Leve"),CONCATENATE("R5C",'Mapa final'!$O$38),"")</f>
        <v/>
      </c>
      <c r="P30" s="64" t="str">
        <f>IF(AND('Mapa final'!$Y$33="Media",'Mapa final'!$AA$33="Menor"),CONCATENATE("R5C",'Mapa final'!$O$33),"")</f>
        <v/>
      </c>
      <c r="Q30" s="65" t="str">
        <f>IF(AND('Mapa final'!$Y$34="Media",'Mapa final'!$AA$34="Menor"),CONCATENATE("R5C",'Mapa final'!$O$34),"")</f>
        <v/>
      </c>
      <c r="R30" s="65" t="str">
        <f>IF(AND('Mapa final'!$Y$35="Media",'Mapa final'!$AA$35="Menor"),CONCATENATE("R5C",'Mapa final'!$O$35),"")</f>
        <v/>
      </c>
      <c r="S30" s="65" t="str">
        <f>IF(AND('Mapa final'!$Y$36="Media",'Mapa final'!$AA$36="Menor"),CONCATENATE("R5C",'Mapa final'!$O$36),"")</f>
        <v/>
      </c>
      <c r="T30" s="65" t="str">
        <f>IF(AND('Mapa final'!$Y$37="Media",'Mapa final'!$AA$37="Menor"),CONCATENATE("R5C",'Mapa final'!$O$37),"")</f>
        <v/>
      </c>
      <c r="U30" s="66" t="str">
        <f>IF(AND('Mapa final'!$Y$38="Media",'Mapa final'!$AA$38="Menor"),CONCATENATE("R5C",'Mapa final'!$O$38),"")</f>
        <v/>
      </c>
      <c r="V30" s="64" t="str">
        <f>IF(AND('Mapa final'!$Y$33="Media",'Mapa final'!$AA$33="Moderado"),CONCATENATE("R5C",'Mapa final'!$O$33),"")</f>
        <v/>
      </c>
      <c r="W30" s="65" t="str">
        <f>IF(AND('Mapa final'!$Y$34="Media",'Mapa final'!$AA$34="Moderado"),CONCATENATE("R5C",'Mapa final'!$O$34),"")</f>
        <v/>
      </c>
      <c r="X30" s="65" t="str">
        <f>IF(AND('Mapa final'!$Y$35="Media",'Mapa final'!$AA$35="Moderado"),CONCATENATE("R5C",'Mapa final'!$O$35),"")</f>
        <v/>
      </c>
      <c r="Y30" s="65" t="str">
        <f>IF(AND('Mapa final'!$Y$36="Media",'Mapa final'!$AA$36="Moderado"),CONCATENATE("R5C",'Mapa final'!$O$36),"")</f>
        <v/>
      </c>
      <c r="Z30" s="65" t="str">
        <f>IF(AND('Mapa final'!$Y$37="Media",'Mapa final'!$AA$37="Moderado"),CONCATENATE("R5C",'Mapa final'!$O$37),"")</f>
        <v/>
      </c>
      <c r="AA30" s="66" t="str">
        <f>IF(AND('Mapa final'!$Y$38="Media",'Mapa final'!$AA$38="Moderado"),CONCATENATE("R5C",'Mapa final'!$O$38),"")</f>
        <v/>
      </c>
      <c r="AB30" s="49" t="str">
        <f>IF(AND('Mapa final'!$Y$33="Media",'Mapa final'!$AA$33="Mayor"),CONCATENATE("R5C",'Mapa final'!$O$33),"")</f>
        <v>R5C1</v>
      </c>
      <c r="AC30" s="50" t="str">
        <f>IF(AND('Mapa final'!$Y$34="Media",'Mapa final'!$AA$34="Mayor"),CONCATENATE("R5C",'Mapa final'!$O$34),"")</f>
        <v/>
      </c>
      <c r="AD30" s="50" t="str">
        <f>IF(AND('Mapa final'!$Y$35="Media",'Mapa final'!$AA$35="Mayor"),CONCATENATE("R5C",'Mapa final'!$O$35),"")</f>
        <v/>
      </c>
      <c r="AE30" s="50" t="str">
        <f>IF(AND('Mapa final'!$Y$36="Media",'Mapa final'!$AA$36="Mayor"),CONCATENATE("R5C",'Mapa final'!$O$36),"")</f>
        <v/>
      </c>
      <c r="AF30" s="50" t="str">
        <f>IF(AND('Mapa final'!$Y$37="Media",'Mapa final'!$AA$37="Mayor"),CONCATENATE("R5C",'Mapa final'!$O$37),"")</f>
        <v/>
      </c>
      <c r="AG30" s="51" t="str">
        <f>IF(AND('Mapa final'!$Y$38="Media",'Mapa final'!$AA$38="Mayor"),CONCATENATE("R5C",'Mapa final'!$O$38),"")</f>
        <v/>
      </c>
      <c r="AH30" s="52" t="str">
        <f>IF(AND('Mapa final'!$Y$33="Media",'Mapa final'!$AA$33="Catastrófico"),CONCATENATE("R5C",'Mapa final'!$O$33),"")</f>
        <v/>
      </c>
      <c r="AI30" s="53" t="str">
        <f>IF(AND('Mapa final'!$Y$34="Media",'Mapa final'!$AA$34="Catastrófico"),CONCATENATE("R5C",'Mapa final'!$O$34),"")</f>
        <v/>
      </c>
      <c r="AJ30" s="53" t="str">
        <f>IF(AND('Mapa final'!$Y$35="Media",'Mapa final'!$AA$35="Catastrófico"),CONCATENATE("R5C",'Mapa final'!$O$35),"")</f>
        <v/>
      </c>
      <c r="AK30" s="53" t="str">
        <f>IF(AND('Mapa final'!$Y$36="Media",'Mapa final'!$AA$36="Catastrófico"),CONCATENATE("R5C",'Mapa final'!$O$36),"")</f>
        <v/>
      </c>
      <c r="AL30" s="53" t="str">
        <f>IF(AND('Mapa final'!$Y$37="Media",'Mapa final'!$AA$37="Catastrófico"),CONCATENATE("R5C",'Mapa final'!$O$37),"")</f>
        <v/>
      </c>
      <c r="AM30" s="54" t="str">
        <f>IF(AND('Mapa final'!$Y$38="Media",'Mapa final'!$AA$38="Catastrófico"),CONCATENATE("R5C",'Mapa final'!$O$38),"")</f>
        <v/>
      </c>
      <c r="AN30" s="80"/>
      <c r="AO30" s="308"/>
      <c r="AP30" s="309"/>
      <c r="AQ30" s="309"/>
      <c r="AR30" s="309"/>
      <c r="AS30" s="309"/>
      <c r="AT30" s="31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294"/>
      <c r="C31" s="294"/>
      <c r="D31" s="295"/>
      <c r="E31" s="265"/>
      <c r="F31" s="266"/>
      <c r="G31" s="266"/>
      <c r="H31" s="266"/>
      <c r="I31" s="267"/>
      <c r="J31" s="64" t="e">
        <f>IF(AND('Mapa final'!#REF!="Media",'Mapa final'!#REF!="Leve"),CONCATENATE("R6C",'Mapa final'!#REF!),"")</f>
        <v>#REF!</v>
      </c>
      <c r="K31" s="65" t="e">
        <f>IF(AND('Mapa final'!#REF!="Media",'Mapa final'!#REF!="Leve"),CONCATENATE("R6C",'Mapa final'!#REF!),"")</f>
        <v>#REF!</v>
      </c>
      <c r="L31" s="65" t="e">
        <f>IF(AND('Mapa final'!#REF!="Media",'Mapa final'!#REF!="Leve"),CONCATENATE("R6C",'Mapa final'!#REF!),"")</f>
        <v>#REF!</v>
      </c>
      <c r="M31" s="65" t="e">
        <f>IF(AND('Mapa final'!#REF!="Media",'Mapa final'!#REF!="Leve"),CONCATENATE("R6C",'Mapa final'!#REF!),"")</f>
        <v>#REF!</v>
      </c>
      <c r="N31" s="65" t="e">
        <f>IF(AND('Mapa final'!#REF!="Media",'Mapa final'!#REF!="Leve"),CONCATENATE("R6C",'Mapa final'!#REF!),"")</f>
        <v>#REF!</v>
      </c>
      <c r="O31" s="66" t="e">
        <f>IF(AND('Mapa final'!#REF!="Media",'Mapa final'!#REF!="Leve"),CONCATENATE("R6C",'Mapa final'!#REF!),"")</f>
        <v>#REF!</v>
      </c>
      <c r="P31" s="64" t="e">
        <f>IF(AND('Mapa final'!#REF!="Media",'Mapa final'!#REF!="Menor"),CONCATENATE("R6C",'Mapa final'!#REF!),"")</f>
        <v>#REF!</v>
      </c>
      <c r="Q31" s="65" t="e">
        <f>IF(AND('Mapa final'!#REF!="Media",'Mapa final'!#REF!="Menor"),CONCATENATE("R6C",'Mapa final'!#REF!),"")</f>
        <v>#REF!</v>
      </c>
      <c r="R31" s="65" t="e">
        <f>IF(AND('Mapa final'!#REF!="Media",'Mapa final'!#REF!="Menor"),CONCATENATE("R6C",'Mapa final'!#REF!),"")</f>
        <v>#REF!</v>
      </c>
      <c r="S31" s="65" t="e">
        <f>IF(AND('Mapa final'!#REF!="Media",'Mapa final'!#REF!="Menor"),CONCATENATE("R6C",'Mapa final'!#REF!),"")</f>
        <v>#REF!</v>
      </c>
      <c r="T31" s="65" t="e">
        <f>IF(AND('Mapa final'!#REF!="Media",'Mapa final'!#REF!="Menor"),CONCATENATE("R6C",'Mapa final'!#REF!),"")</f>
        <v>#REF!</v>
      </c>
      <c r="U31" s="66" t="e">
        <f>IF(AND('Mapa final'!#REF!="Media",'Mapa final'!#REF!="Menor"),CONCATENATE("R6C",'Mapa final'!#REF!),"")</f>
        <v>#REF!</v>
      </c>
      <c r="V31" s="64" t="e">
        <f>IF(AND('Mapa final'!#REF!="Media",'Mapa final'!#REF!="Moderado"),CONCATENATE("R6C",'Mapa final'!#REF!),"")</f>
        <v>#REF!</v>
      </c>
      <c r="W31" s="65" t="e">
        <f>IF(AND('Mapa final'!#REF!="Media",'Mapa final'!#REF!="Moderado"),CONCATENATE("R6C",'Mapa final'!#REF!),"")</f>
        <v>#REF!</v>
      </c>
      <c r="X31" s="65" t="e">
        <f>IF(AND('Mapa final'!#REF!="Media",'Mapa final'!#REF!="Moderado"),CONCATENATE("R6C",'Mapa final'!#REF!),"")</f>
        <v>#REF!</v>
      </c>
      <c r="Y31" s="65" t="e">
        <f>IF(AND('Mapa final'!#REF!="Media",'Mapa final'!#REF!="Moderado"),CONCATENATE("R6C",'Mapa final'!#REF!),"")</f>
        <v>#REF!</v>
      </c>
      <c r="Z31" s="65" t="e">
        <f>IF(AND('Mapa final'!#REF!="Media",'Mapa final'!#REF!="Moderado"),CONCATENATE("R6C",'Mapa final'!#REF!),"")</f>
        <v>#REF!</v>
      </c>
      <c r="AA31" s="66" t="e">
        <f>IF(AND('Mapa final'!#REF!="Media",'Mapa final'!#REF!="Moderado"),CONCATENATE("R6C",'Mapa final'!#REF!),"")</f>
        <v>#REF!</v>
      </c>
      <c r="AB31" s="49" t="e">
        <f>IF(AND('Mapa final'!#REF!="Media",'Mapa final'!#REF!="Mayor"),CONCATENATE("R6C",'Mapa final'!#REF!),"")</f>
        <v>#REF!</v>
      </c>
      <c r="AC31" s="50" t="e">
        <f>IF(AND('Mapa final'!#REF!="Media",'Mapa final'!#REF!="Mayor"),CONCATENATE("R6C",'Mapa final'!#REF!),"")</f>
        <v>#REF!</v>
      </c>
      <c r="AD31" s="50" t="e">
        <f>IF(AND('Mapa final'!#REF!="Media",'Mapa final'!#REF!="Mayor"),CONCATENATE("R6C",'Mapa final'!#REF!),"")</f>
        <v>#REF!</v>
      </c>
      <c r="AE31" s="50" t="e">
        <f>IF(AND('Mapa final'!#REF!="Media",'Mapa final'!#REF!="Mayor"),CONCATENATE("R6C",'Mapa final'!#REF!),"")</f>
        <v>#REF!</v>
      </c>
      <c r="AF31" s="50" t="e">
        <f>IF(AND('Mapa final'!#REF!="Media",'Mapa final'!#REF!="Mayor"),CONCATENATE("R6C",'Mapa final'!#REF!),"")</f>
        <v>#REF!</v>
      </c>
      <c r="AG31" s="51" t="e">
        <f>IF(AND('Mapa final'!#REF!="Media",'Mapa final'!#REF!="Mayor"),CONCATENATE("R6C",'Mapa final'!#REF!),"")</f>
        <v>#REF!</v>
      </c>
      <c r="AH31" s="52" t="e">
        <f>IF(AND('Mapa final'!#REF!="Media",'Mapa final'!#REF!="Catastrófico"),CONCATENATE("R6C",'Mapa final'!#REF!),"")</f>
        <v>#REF!</v>
      </c>
      <c r="AI31" s="53" t="e">
        <f>IF(AND('Mapa final'!#REF!="Media",'Mapa final'!#REF!="Catastrófico"),CONCATENATE("R6C",'Mapa final'!#REF!),"")</f>
        <v>#REF!</v>
      </c>
      <c r="AJ31" s="53" t="e">
        <f>IF(AND('Mapa final'!#REF!="Media",'Mapa final'!#REF!="Catastrófico"),CONCATENATE("R6C",'Mapa final'!#REF!),"")</f>
        <v>#REF!</v>
      </c>
      <c r="AK31" s="53" t="e">
        <f>IF(AND('Mapa final'!#REF!="Media",'Mapa final'!#REF!="Catastrófico"),CONCATENATE("R6C",'Mapa final'!#REF!),"")</f>
        <v>#REF!</v>
      </c>
      <c r="AL31" s="53" t="e">
        <f>IF(AND('Mapa final'!#REF!="Media",'Mapa final'!#REF!="Catastrófico"),CONCATENATE("R6C",'Mapa final'!#REF!),"")</f>
        <v>#REF!</v>
      </c>
      <c r="AM31" s="54" t="e">
        <f>IF(AND('Mapa final'!#REF!="Media",'Mapa final'!#REF!="Catastrófico"),CONCATENATE("R6C",'Mapa final'!#REF!),"")</f>
        <v>#REF!</v>
      </c>
      <c r="AN31" s="80"/>
      <c r="AO31" s="308"/>
      <c r="AP31" s="309"/>
      <c r="AQ31" s="309"/>
      <c r="AR31" s="309"/>
      <c r="AS31" s="309"/>
      <c r="AT31" s="31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294"/>
      <c r="C32" s="294"/>
      <c r="D32" s="295"/>
      <c r="E32" s="265"/>
      <c r="F32" s="266"/>
      <c r="G32" s="266"/>
      <c r="H32" s="266"/>
      <c r="I32" s="267"/>
      <c r="J32" s="64" t="str">
        <f>IF(AND('Mapa final'!$Y$39="Media",'Mapa final'!$AA$39="Leve"),CONCATENATE("R7C",'Mapa final'!$O$39),"")</f>
        <v/>
      </c>
      <c r="K32" s="65" t="str">
        <f>IF(AND('Mapa final'!$Y$40="Media",'Mapa final'!$AA$40="Leve"),CONCATENATE("R7C",'Mapa final'!$O$40),"")</f>
        <v/>
      </c>
      <c r="L32" s="65" t="str">
        <f>IF(AND('Mapa final'!$Y$41="Media",'Mapa final'!$AA$41="Leve"),CONCATENATE("R7C",'Mapa final'!$O$41),"")</f>
        <v/>
      </c>
      <c r="M32" s="65" t="str">
        <f>IF(AND('Mapa final'!$Y$42="Media",'Mapa final'!$AA$42="Leve"),CONCATENATE("R7C",'Mapa final'!$O$42),"")</f>
        <v/>
      </c>
      <c r="N32" s="65" t="str">
        <f>IF(AND('Mapa final'!$Y$43="Media",'Mapa final'!$AA$43="Leve"),CONCATENATE("R7C",'Mapa final'!$O$43),"")</f>
        <v/>
      </c>
      <c r="O32" s="66" t="str">
        <f>IF(AND('Mapa final'!$Y$44="Media",'Mapa final'!$AA$44="Leve"),CONCATENATE("R7C",'Mapa final'!$O$44),"")</f>
        <v/>
      </c>
      <c r="P32" s="64" t="str">
        <f>IF(AND('Mapa final'!$Y$39="Media",'Mapa final'!$AA$39="Menor"),CONCATENATE("R7C",'Mapa final'!$O$39),"")</f>
        <v/>
      </c>
      <c r="Q32" s="65" t="str">
        <f>IF(AND('Mapa final'!$Y$40="Media",'Mapa final'!$AA$40="Menor"),CONCATENATE("R7C",'Mapa final'!$O$40),"")</f>
        <v/>
      </c>
      <c r="R32" s="65" t="str">
        <f>IF(AND('Mapa final'!$Y$41="Media",'Mapa final'!$AA$41="Menor"),CONCATENATE("R7C",'Mapa final'!$O$41),"")</f>
        <v/>
      </c>
      <c r="S32" s="65" t="str">
        <f>IF(AND('Mapa final'!$Y$42="Media",'Mapa final'!$AA$42="Menor"),CONCATENATE("R7C",'Mapa final'!$O$42),"")</f>
        <v/>
      </c>
      <c r="T32" s="65" t="str">
        <f>IF(AND('Mapa final'!$Y$43="Media",'Mapa final'!$AA$43="Menor"),CONCATENATE("R7C",'Mapa final'!$O$43),"")</f>
        <v/>
      </c>
      <c r="U32" s="66" t="str">
        <f>IF(AND('Mapa final'!$Y$44="Media",'Mapa final'!$AA$44="Menor"),CONCATENATE("R7C",'Mapa final'!$O$44),"")</f>
        <v/>
      </c>
      <c r="V32" s="64" t="str">
        <f>IF(AND('Mapa final'!$Y$39="Media",'Mapa final'!$AA$39="Moderado"),CONCATENATE("R7C",'Mapa final'!$O$39),"")</f>
        <v/>
      </c>
      <c r="W32" s="65" t="str">
        <f>IF(AND('Mapa final'!$Y$40="Media",'Mapa final'!$AA$40="Moderado"),CONCATENATE("R7C",'Mapa final'!$O$40),"")</f>
        <v/>
      </c>
      <c r="X32" s="65" t="str">
        <f>IF(AND('Mapa final'!$Y$41="Media",'Mapa final'!$AA$41="Moderado"),CONCATENATE("R7C",'Mapa final'!$O$41),"")</f>
        <v/>
      </c>
      <c r="Y32" s="65" t="str">
        <f>IF(AND('Mapa final'!$Y$42="Media",'Mapa final'!$AA$42="Moderado"),CONCATENATE("R7C",'Mapa final'!$O$42),"")</f>
        <v/>
      </c>
      <c r="Z32" s="65" t="str">
        <f>IF(AND('Mapa final'!$Y$43="Media",'Mapa final'!$AA$43="Moderado"),CONCATENATE("R7C",'Mapa final'!$O$43),"")</f>
        <v/>
      </c>
      <c r="AA32" s="66" t="str">
        <f>IF(AND('Mapa final'!$Y$44="Media",'Mapa final'!$AA$44="Moderado"),CONCATENATE("R7C",'Mapa final'!$O$44),"")</f>
        <v/>
      </c>
      <c r="AB32" s="49" t="str">
        <f>IF(AND('Mapa final'!$Y$39="Media",'Mapa final'!$AA$39="Mayor"),CONCATENATE("R7C",'Mapa final'!$O$39),"")</f>
        <v/>
      </c>
      <c r="AC32" s="50" t="str">
        <f>IF(AND('Mapa final'!$Y$40="Media",'Mapa final'!$AA$40="Mayor"),CONCATENATE("R7C",'Mapa final'!$O$40),"")</f>
        <v/>
      </c>
      <c r="AD32" s="50" t="str">
        <f>IF(AND('Mapa final'!$Y$41="Media",'Mapa final'!$AA$41="Mayor"),CONCATENATE("R7C",'Mapa final'!$O$41),"")</f>
        <v/>
      </c>
      <c r="AE32" s="50" t="str">
        <f>IF(AND('Mapa final'!$Y$42="Media",'Mapa final'!$AA$42="Mayor"),CONCATENATE("R7C",'Mapa final'!$O$42),"")</f>
        <v/>
      </c>
      <c r="AF32" s="50" t="str">
        <f>IF(AND('Mapa final'!$Y$43="Media",'Mapa final'!$AA$43="Mayor"),CONCATENATE("R7C",'Mapa final'!$O$43),"")</f>
        <v/>
      </c>
      <c r="AG32" s="51" t="str">
        <f>IF(AND('Mapa final'!$Y$44="Media",'Mapa final'!$AA$44="Mayor"),CONCATENATE("R7C",'Mapa final'!$O$44),"")</f>
        <v/>
      </c>
      <c r="AH32" s="52" t="str">
        <f>IF(AND('Mapa final'!$Y$39="Media",'Mapa final'!$AA$39="Catastrófico"),CONCATENATE("R7C",'Mapa final'!$O$39),"")</f>
        <v/>
      </c>
      <c r="AI32" s="53" t="str">
        <f>IF(AND('Mapa final'!$Y$40="Media",'Mapa final'!$AA$40="Catastrófico"),CONCATENATE("R7C",'Mapa final'!$O$40),"")</f>
        <v/>
      </c>
      <c r="AJ32" s="53" t="str">
        <f>IF(AND('Mapa final'!$Y$41="Media",'Mapa final'!$AA$41="Catastrófico"),CONCATENATE("R7C",'Mapa final'!$O$41),"")</f>
        <v/>
      </c>
      <c r="AK32" s="53" t="str">
        <f>IF(AND('Mapa final'!$Y$42="Media",'Mapa final'!$AA$42="Catastrófico"),CONCATENATE("R7C",'Mapa final'!$O$42),"")</f>
        <v/>
      </c>
      <c r="AL32" s="53" t="str">
        <f>IF(AND('Mapa final'!$Y$43="Media",'Mapa final'!$AA$43="Catastrófico"),CONCATENATE("R7C",'Mapa final'!$O$43),"")</f>
        <v/>
      </c>
      <c r="AM32" s="54" t="str">
        <f>IF(AND('Mapa final'!$Y$44="Media",'Mapa final'!$AA$44="Catastrófico"),CONCATENATE("R7C",'Mapa final'!$O$44),"")</f>
        <v/>
      </c>
      <c r="AN32" s="80"/>
      <c r="AO32" s="308"/>
      <c r="AP32" s="309"/>
      <c r="AQ32" s="309"/>
      <c r="AR32" s="309"/>
      <c r="AS32" s="309"/>
      <c r="AT32" s="31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294"/>
      <c r="C33" s="294"/>
      <c r="D33" s="295"/>
      <c r="E33" s="265"/>
      <c r="F33" s="266"/>
      <c r="G33" s="266"/>
      <c r="H33" s="266"/>
      <c r="I33" s="267"/>
      <c r="J33" s="64" t="str">
        <f>IF(AND('Mapa final'!$Y$45="Media",'Mapa final'!$AA$45="Leve"),CONCATENATE("R8C",'Mapa final'!$O$45),"")</f>
        <v/>
      </c>
      <c r="K33" s="65" t="str">
        <f>IF(AND('Mapa final'!$Y$46="Media",'Mapa final'!$AA$46="Leve"),CONCATENATE("R8C",'Mapa final'!$O$46),"")</f>
        <v/>
      </c>
      <c r="L33" s="65" t="str">
        <f>IF(AND('Mapa final'!$Y$47="Media",'Mapa final'!$AA$47="Leve"),CONCATENATE("R8C",'Mapa final'!$O$47),"")</f>
        <v/>
      </c>
      <c r="M33" s="65" t="str">
        <f>IF(AND('Mapa final'!$Y$48="Media",'Mapa final'!$AA$48="Leve"),CONCATENATE("R8C",'Mapa final'!$O$48),"")</f>
        <v/>
      </c>
      <c r="N33" s="65" t="str">
        <f>IF(AND('Mapa final'!$Y$49="Media",'Mapa final'!$AA$49="Leve"),CONCATENATE("R8C",'Mapa final'!$O$49),"")</f>
        <v/>
      </c>
      <c r="O33" s="66" t="str">
        <f>IF(AND('Mapa final'!$Y$50="Media",'Mapa final'!$AA$50="Leve"),CONCATENATE("R8C",'Mapa final'!$O$50),"")</f>
        <v/>
      </c>
      <c r="P33" s="64" t="str">
        <f>IF(AND('Mapa final'!$Y$45="Media",'Mapa final'!$AA$45="Menor"),CONCATENATE("R8C",'Mapa final'!$O$45),"")</f>
        <v/>
      </c>
      <c r="Q33" s="65" t="str">
        <f>IF(AND('Mapa final'!$Y$46="Media",'Mapa final'!$AA$46="Menor"),CONCATENATE("R8C",'Mapa final'!$O$46),"")</f>
        <v/>
      </c>
      <c r="R33" s="65" t="str">
        <f>IF(AND('Mapa final'!$Y$47="Media",'Mapa final'!$AA$47="Menor"),CONCATENATE("R8C",'Mapa final'!$O$47),"")</f>
        <v/>
      </c>
      <c r="S33" s="65" t="str">
        <f>IF(AND('Mapa final'!$Y$48="Media",'Mapa final'!$AA$48="Menor"),CONCATENATE("R8C",'Mapa final'!$O$48),"")</f>
        <v/>
      </c>
      <c r="T33" s="65" t="str">
        <f>IF(AND('Mapa final'!$Y$49="Media",'Mapa final'!$AA$49="Menor"),CONCATENATE("R8C",'Mapa final'!$O$49),"")</f>
        <v/>
      </c>
      <c r="U33" s="66" t="str">
        <f>IF(AND('Mapa final'!$Y$50="Media",'Mapa final'!$AA$50="Menor"),CONCATENATE("R8C",'Mapa final'!$O$50),"")</f>
        <v/>
      </c>
      <c r="V33" s="64" t="str">
        <f>IF(AND('Mapa final'!$Y$45="Media",'Mapa final'!$AA$45="Moderado"),CONCATENATE("R8C",'Mapa final'!$O$45),"")</f>
        <v/>
      </c>
      <c r="W33" s="65" t="str">
        <f>IF(AND('Mapa final'!$Y$46="Media",'Mapa final'!$AA$46="Moderado"),CONCATENATE("R8C",'Mapa final'!$O$46),"")</f>
        <v/>
      </c>
      <c r="X33" s="65" t="str">
        <f>IF(AND('Mapa final'!$Y$47="Media",'Mapa final'!$AA$47="Moderado"),CONCATENATE("R8C",'Mapa final'!$O$47),"")</f>
        <v/>
      </c>
      <c r="Y33" s="65" t="str">
        <f>IF(AND('Mapa final'!$Y$48="Media",'Mapa final'!$AA$48="Moderado"),CONCATENATE("R8C",'Mapa final'!$O$48),"")</f>
        <v/>
      </c>
      <c r="Z33" s="65" t="str">
        <f>IF(AND('Mapa final'!$Y$49="Media",'Mapa final'!$AA$49="Moderado"),CONCATENATE("R8C",'Mapa final'!$O$49),"")</f>
        <v/>
      </c>
      <c r="AA33" s="66" t="str">
        <f>IF(AND('Mapa final'!$Y$50="Media",'Mapa final'!$AA$50="Moderado"),CONCATENATE("R8C",'Mapa final'!$O$50),"")</f>
        <v/>
      </c>
      <c r="AB33" s="49" t="str">
        <f>IF(AND('Mapa final'!$Y$45="Media",'Mapa final'!$AA$45="Mayor"),CONCATENATE("R8C",'Mapa final'!$O$45),"")</f>
        <v/>
      </c>
      <c r="AC33" s="50" t="str">
        <f>IF(AND('Mapa final'!$Y$46="Media",'Mapa final'!$AA$46="Mayor"),CONCATENATE("R8C",'Mapa final'!$O$46),"")</f>
        <v/>
      </c>
      <c r="AD33" s="50" t="str">
        <f>IF(AND('Mapa final'!$Y$47="Media",'Mapa final'!$AA$47="Mayor"),CONCATENATE("R8C",'Mapa final'!$O$47),"")</f>
        <v/>
      </c>
      <c r="AE33" s="50" t="str">
        <f>IF(AND('Mapa final'!$Y$48="Media",'Mapa final'!$AA$48="Mayor"),CONCATENATE("R8C",'Mapa final'!$O$48),"")</f>
        <v/>
      </c>
      <c r="AF33" s="50" t="str">
        <f>IF(AND('Mapa final'!$Y$49="Media",'Mapa final'!$AA$49="Mayor"),CONCATENATE("R8C",'Mapa final'!$O$49),"")</f>
        <v/>
      </c>
      <c r="AG33" s="51" t="str">
        <f>IF(AND('Mapa final'!$Y$50="Media",'Mapa final'!$AA$50="Mayor"),CONCATENATE("R8C",'Mapa final'!$O$50),"")</f>
        <v/>
      </c>
      <c r="AH33" s="52" t="str">
        <f>IF(AND('Mapa final'!$Y$45="Media",'Mapa final'!$AA$45="Catastrófico"),CONCATENATE("R8C",'Mapa final'!$O$45),"")</f>
        <v/>
      </c>
      <c r="AI33" s="53" t="str">
        <f>IF(AND('Mapa final'!$Y$46="Media",'Mapa final'!$AA$46="Catastrófico"),CONCATENATE("R8C",'Mapa final'!$O$46),"")</f>
        <v/>
      </c>
      <c r="AJ33" s="53" t="str">
        <f>IF(AND('Mapa final'!$Y$47="Media",'Mapa final'!$AA$47="Catastrófico"),CONCATENATE("R8C",'Mapa final'!$O$47),"")</f>
        <v/>
      </c>
      <c r="AK33" s="53" t="str">
        <f>IF(AND('Mapa final'!$Y$48="Media",'Mapa final'!$AA$48="Catastrófico"),CONCATENATE("R8C",'Mapa final'!$O$48),"")</f>
        <v/>
      </c>
      <c r="AL33" s="53" t="str">
        <f>IF(AND('Mapa final'!$Y$49="Media",'Mapa final'!$AA$49="Catastrófico"),CONCATENATE("R8C",'Mapa final'!$O$49),"")</f>
        <v/>
      </c>
      <c r="AM33" s="54" t="str">
        <f>IF(AND('Mapa final'!$Y$50="Media",'Mapa final'!$AA$50="Catastrófico"),CONCATENATE("R8C",'Mapa final'!$O$50),"")</f>
        <v/>
      </c>
      <c r="AN33" s="80"/>
      <c r="AO33" s="308"/>
      <c r="AP33" s="309"/>
      <c r="AQ33" s="309"/>
      <c r="AR33" s="309"/>
      <c r="AS33" s="309"/>
      <c r="AT33" s="31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294"/>
      <c r="C34" s="294"/>
      <c r="D34" s="295"/>
      <c r="E34" s="265"/>
      <c r="F34" s="266"/>
      <c r="G34" s="266"/>
      <c r="H34" s="266"/>
      <c r="I34" s="267"/>
      <c r="J34" s="64" t="str">
        <f>IF(AND('Mapa final'!$Y$51="Media",'Mapa final'!$AA$51="Leve"),CONCATENATE("R9C",'Mapa final'!$O$51),"")</f>
        <v/>
      </c>
      <c r="K34" s="65" t="str">
        <f>IF(AND('Mapa final'!$Y$52="Media",'Mapa final'!$AA$52="Leve"),CONCATENATE("R9C",'Mapa final'!$O$52),"")</f>
        <v/>
      </c>
      <c r="L34" s="65" t="str">
        <f>IF(AND('Mapa final'!$Y$53="Media",'Mapa final'!$AA$53="Leve"),CONCATENATE("R9C",'Mapa final'!$O$53),"")</f>
        <v/>
      </c>
      <c r="M34" s="65" t="str">
        <f>IF(AND('Mapa final'!$Y$54="Media",'Mapa final'!$AA$54="Leve"),CONCATENATE("R9C",'Mapa final'!$O$54),"")</f>
        <v/>
      </c>
      <c r="N34" s="65" t="str">
        <f>IF(AND('Mapa final'!$Y$55="Media",'Mapa final'!$AA$55="Leve"),CONCATENATE("R9C",'Mapa final'!$O$55),"")</f>
        <v/>
      </c>
      <c r="O34" s="66" t="str">
        <f>IF(AND('Mapa final'!$Y$56="Media",'Mapa final'!$AA$56="Leve"),CONCATENATE("R9C",'Mapa final'!$O$56),"")</f>
        <v/>
      </c>
      <c r="P34" s="64" t="str">
        <f>IF(AND('Mapa final'!$Y$51="Media",'Mapa final'!$AA$51="Menor"),CONCATENATE("R9C",'Mapa final'!$O$51),"")</f>
        <v/>
      </c>
      <c r="Q34" s="65" t="str">
        <f>IF(AND('Mapa final'!$Y$52="Media",'Mapa final'!$AA$52="Menor"),CONCATENATE("R9C",'Mapa final'!$O$52),"")</f>
        <v/>
      </c>
      <c r="R34" s="65" t="str">
        <f>IF(AND('Mapa final'!$Y$53="Media",'Mapa final'!$AA$53="Menor"),CONCATENATE("R9C",'Mapa final'!$O$53),"")</f>
        <v/>
      </c>
      <c r="S34" s="65" t="str">
        <f>IF(AND('Mapa final'!$Y$54="Media",'Mapa final'!$AA$54="Menor"),CONCATENATE("R9C",'Mapa final'!$O$54),"")</f>
        <v/>
      </c>
      <c r="T34" s="65" t="str">
        <f>IF(AND('Mapa final'!$Y$55="Media",'Mapa final'!$AA$55="Menor"),CONCATENATE("R9C",'Mapa final'!$O$55),"")</f>
        <v/>
      </c>
      <c r="U34" s="66" t="str">
        <f>IF(AND('Mapa final'!$Y$56="Media",'Mapa final'!$AA$56="Menor"),CONCATENATE("R9C",'Mapa final'!$O$56),"")</f>
        <v/>
      </c>
      <c r="V34" s="64" t="str">
        <f>IF(AND('Mapa final'!$Y$51="Media",'Mapa final'!$AA$51="Moderado"),CONCATENATE("R9C",'Mapa final'!$O$51),"")</f>
        <v/>
      </c>
      <c r="W34" s="65" t="str">
        <f>IF(AND('Mapa final'!$Y$52="Media",'Mapa final'!$AA$52="Moderado"),CONCATENATE("R9C",'Mapa final'!$O$52),"")</f>
        <v/>
      </c>
      <c r="X34" s="65" t="str">
        <f>IF(AND('Mapa final'!$Y$53="Media",'Mapa final'!$AA$53="Moderado"),CONCATENATE("R9C",'Mapa final'!$O$53),"")</f>
        <v/>
      </c>
      <c r="Y34" s="65" t="str">
        <f>IF(AND('Mapa final'!$Y$54="Media",'Mapa final'!$AA$54="Moderado"),CONCATENATE("R9C",'Mapa final'!$O$54),"")</f>
        <v/>
      </c>
      <c r="Z34" s="65" t="str">
        <f>IF(AND('Mapa final'!$Y$55="Media",'Mapa final'!$AA$55="Moderado"),CONCATENATE("R9C",'Mapa final'!$O$55),"")</f>
        <v/>
      </c>
      <c r="AA34" s="66" t="str">
        <f>IF(AND('Mapa final'!$Y$56="Media",'Mapa final'!$AA$56="Moderado"),CONCATENATE("R9C",'Mapa final'!$O$56),"")</f>
        <v/>
      </c>
      <c r="AB34" s="49" t="str">
        <f>IF(AND('Mapa final'!$Y$51="Media",'Mapa final'!$AA$51="Mayor"),CONCATENATE("R9C",'Mapa final'!$O$51),"")</f>
        <v/>
      </c>
      <c r="AC34" s="50" t="str">
        <f>IF(AND('Mapa final'!$Y$52="Media",'Mapa final'!$AA$52="Mayor"),CONCATENATE("R9C",'Mapa final'!$O$52),"")</f>
        <v/>
      </c>
      <c r="AD34" s="50" t="str">
        <f>IF(AND('Mapa final'!$Y$53="Media",'Mapa final'!$AA$53="Mayor"),CONCATENATE("R9C",'Mapa final'!$O$53),"")</f>
        <v/>
      </c>
      <c r="AE34" s="50" t="str">
        <f>IF(AND('Mapa final'!$Y$54="Media",'Mapa final'!$AA$54="Mayor"),CONCATENATE("R9C",'Mapa final'!$O$54),"")</f>
        <v/>
      </c>
      <c r="AF34" s="50" t="str">
        <f>IF(AND('Mapa final'!$Y$55="Media",'Mapa final'!$AA$55="Mayor"),CONCATENATE("R9C",'Mapa final'!$O$55),"")</f>
        <v/>
      </c>
      <c r="AG34" s="51" t="str">
        <f>IF(AND('Mapa final'!$Y$56="Media",'Mapa final'!$AA$56="Mayor"),CONCATENATE("R9C",'Mapa final'!$O$56),"")</f>
        <v/>
      </c>
      <c r="AH34" s="52" t="str">
        <f>IF(AND('Mapa final'!$Y$51="Media",'Mapa final'!$AA$51="Catastrófico"),CONCATENATE("R9C",'Mapa final'!$O$51),"")</f>
        <v/>
      </c>
      <c r="AI34" s="53" t="str">
        <f>IF(AND('Mapa final'!$Y$52="Media",'Mapa final'!$AA$52="Catastrófico"),CONCATENATE("R9C",'Mapa final'!$O$52),"")</f>
        <v/>
      </c>
      <c r="AJ34" s="53" t="str">
        <f>IF(AND('Mapa final'!$Y$53="Media",'Mapa final'!$AA$53="Catastrófico"),CONCATENATE("R9C",'Mapa final'!$O$53),"")</f>
        <v/>
      </c>
      <c r="AK34" s="53" t="str">
        <f>IF(AND('Mapa final'!$Y$54="Media",'Mapa final'!$AA$54="Catastrófico"),CONCATENATE("R9C",'Mapa final'!$O$54),"")</f>
        <v/>
      </c>
      <c r="AL34" s="53" t="str">
        <f>IF(AND('Mapa final'!$Y$55="Media",'Mapa final'!$AA$55="Catastrófico"),CONCATENATE("R9C",'Mapa final'!$O$55),"")</f>
        <v/>
      </c>
      <c r="AM34" s="54" t="str">
        <f>IF(AND('Mapa final'!$Y$56="Media",'Mapa final'!$AA$56="Catastrófico"),CONCATENATE("R9C",'Mapa final'!$O$56),"")</f>
        <v/>
      </c>
      <c r="AN34" s="80"/>
      <c r="AO34" s="308"/>
      <c r="AP34" s="309"/>
      <c r="AQ34" s="309"/>
      <c r="AR34" s="309"/>
      <c r="AS34" s="309"/>
      <c r="AT34" s="31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294"/>
      <c r="C35" s="294"/>
      <c r="D35" s="295"/>
      <c r="E35" s="268"/>
      <c r="F35" s="269"/>
      <c r="G35" s="269"/>
      <c r="H35" s="269"/>
      <c r="I35" s="270"/>
      <c r="J35" s="64" t="str">
        <f>IF(AND('Mapa final'!$Y$57="Media",'Mapa final'!$AA$57="Leve"),CONCATENATE("R10C",'Mapa final'!$O$57),"")</f>
        <v/>
      </c>
      <c r="K35" s="65" t="str">
        <f>IF(AND('Mapa final'!$Y$58="Media",'Mapa final'!$AA$58="Leve"),CONCATENATE("R10C",'Mapa final'!$O$58),"")</f>
        <v/>
      </c>
      <c r="L35" s="65" t="str">
        <f>IF(AND('Mapa final'!$Y$59="Media",'Mapa final'!$AA$59="Leve"),CONCATENATE("R10C",'Mapa final'!$O$59),"")</f>
        <v/>
      </c>
      <c r="M35" s="65" t="str">
        <f>IF(AND('Mapa final'!$Y$60="Media",'Mapa final'!$AA$60="Leve"),CONCATENATE("R10C",'Mapa final'!$O$60),"")</f>
        <v/>
      </c>
      <c r="N35" s="65" t="str">
        <f>IF(AND('Mapa final'!$Y$61="Media",'Mapa final'!$AA$61="Leve"),CONCATENATE("R10C",'Mapa final'!$O$61),"")</f>
        <v/>
      </c>
      <c r="O35" s="66" t="str">
        <f>IF(AND('Mapa final'!$Y$62="Media",'Mapa final'!$AA$62="Leve"),CONCATENATE("R10C",'Mapa final'!$O$62),"")</f>
        <v/>
      </c>
      <c r="P35" s="64" t="str">
        <f>IF(AND('Mapa final'!$Y$57="Media",'Mapa final'!$AA$57="Menor"),CONCATENATE("R10C",'Mapa final'!$O$57),"")</f>
        <v/>
      </c>
      <c r="Q35" s="65" t="str">
        <f>IF(AND('Mapa final'!$Y$58="Media",'Mapa final'!$AA$58="Menor"),CONCATENATE("R10C",'Mapa final'!$O$58),"")</f>
        <v/>
      </c>
      <c r="R35" s="65" t="str">
        <f>IF(AND('Mapa final'!$Y$59="Media",'Mapa final'!$AA$59="Menor"),CONCATENATE("R10C",'Mapa final'!$O$59),"")</f>
        <v/>
      </c>
      <c r="S35" s="65" t="str">
        <f>IF(AND('Mapa final'!$Y$60="Media",'Mapa final'!$AA$60="Menor"),CONCATENATE("R10C",'Mapa final'!$O$60),"")</f>
        <v/>
      </c>
      <c r="T35" s="65" t="str">
        <f>IF(AND('Mapa final'!$Y$61="Media",'Mapa final'!$AA$61="Menor"),CONCATENATE("R10C",'Mapa final'!$O$61),"")</f>
        <v/>
      </c>
      <c r="U35" s="66" t="str">
        <f>IF(AND('Mapa final'!$Y$62="Media",'Mapa final'!$AA$62="Menor"),CONCATENATE("R10C",'Mapa final'!$O$62),"")</f>
        <v/>
      </c>
      <c r="V35" s="64" t="str">
        <f>IF(AND('Mapa final'!$Y$57="Media",'Mapa final'!$AA$57="Moderado"),CONCATENATE("R10C",'Mapa final'!$O$57),"")</f>
        <v/>
      </c>
      <c r="W35" s="65" t="str">
        <f>IF(AND('Mapa final'!$Y$58="Media",'Mapa final'!$AA$58="Moderado"),CONCATENATE("R10C",'Mapa final'!$O$58),"")</f>
        <v/>
      </c>
      <c r="X35" s="65" t="str">
        <f>IF(AND('Mapa final'!$Y$59="Media",'Mapa final'!$AA$59="Moderado"),CONCATENATE("R10C",'Mapa final'!$O$59),"")</f>
        <v/>
      </c>
      <c r="Y35" s="65" t="str">
        <f>IF(AND('Mapa final'!$Y$60="Media",'Mapa final'!$AA$60="Moderado"),CONCATENATE("R10C",'Mapa final'!$O$60),"")</f>
        <v/>
      </c>
      <c r="Z35" s="65" t="str">
        <f>IF(AND('Mapa final'!$Y$61="Media",'Mapa final'!$AA$61="Moderado"),CONCATENATE("R10C",'Mapa final'!$O$61),"")</f>
        <v/>
      </c>
      <c r="AA35" s="66" t="str">
        <f>IF(AND('Mapa final'!$Y$62="Media",'Mapa final'!$AA$62="Moderado"),CONCATENATE("R10C",'Mapa final'!$O$62),"")</f>
        <v/>
      </c>
      <c r="AB35" s="55" t="str">
        <f>IF(AND('Mapa final'!$Y$57="Media",'Mapa final'!$AA$57="Mayor"),CONCATENATE("R10C",'Mapa final'!$O$57),"")</f>
        <v/>
      </c>
      <c r="AC35" s="56" t="str">
        <f>IF(AND('Mapa final'!$Y$58="Media",'Mapa final'!$AA$58="Mayor"),CONCATENATE("R10C",'Mapa final'!$O$58),"")</f>
        <v/>
      </c>
      <c r="AD35" s="56" t="str">
        <f>IF(AND('Mapa final'!$Y$59="Media",'Mapa final'!$AA$59="Mayor"),CONCATENATE("R10C",'Mapa final'!$O$59),"")</f>
        <v/>
      </c>
      <c r="AE35" s="56" t="str">
        <f>IF(AND('Mapa final'!$Y$60="Media",'Mapa final'!$AA$60="Mayor"),CONCATENATE("R10C",'Mapa final'!$O$60),"")</f>
        <v/>
      </c>
      <c r="AF35" s="56" t="str">
        <f>IF(AND('Mapa final'!$Y$61="Media",'Mapa final'!$AA$61="Mayor"),CONCATENATE("R10C",'Mapa final'!$O$61),"")</f>
        <v/>
      </c>
      <c r="AG35" s="57" t="str">
        <f>IF(AND('Mapa final'!$Y$62="Media",'Mapa final'!$AA$62="Mayor"),CONCATENATE("R10C",'Mapa final'!$O$62),"")</f>
        <v/>
      </c>
      <c r="AH35" s="58" t="str">
        <f>IF(AND('Mapa final'!$Y$57="Media",'Mapa final'!$AA$57="Catastrófico"),CONCATENATE("R10C",'Mapa final'!$O$57),"")</f>
        <v/>
      </c>
      <c r="AI35" s="59" t="str">
        <f>IF(AND('Mapa final'!$Y$58="Media",'Mapa final'!$AA$58="Catastrófico"),CONCATENATE("R10C",'Mapa final'!$O$58),"")</f>
        <v/>
      </c>
      <c r="AJ35" s="59" t="str">
        <f>IF(AND('Mapa final'!$Y$59="Media",'Mapa final'!$AA$59="Catastrófico"),CONCATENATE("R10C",'Mapa final'!$O$59),"")</f>
        <v/>
      </c>
      <c r="AK35" s="59" t="str">
        <f>IF(AND('Mapa final'!$Y$60="Media",'Mapa final'!$AA$60="Catastrófico"),CONCATENATE("R10C",'Mapa final'!$O$60),"")</f>
        <v/>
      </c>
      <c r="AL35" s="59" t="str">
        <f>IF(AND('Mapa final'!$Y$61="Media",'Mapa final'!$AA$61="Catastrófico"),CONCATENATE("R10C",'Mapa final'!$O$61),"")</f>
        <v/>
      </c>
      <c r="AM35" s="60" t="str">
        <f>IF(AND('Mapa final'!$Y$62="Media",'Mapa final'!$AA$62="Catastrófico"),CONCATENATE("R10C",'Mapa final'!$O$62),"")</f>
        <v/>
      </c>
      <c r="AN35" s="80"/>
      <c r="AO35" s="311"/>
      <c r="AP35" s="312"/>
      <c r="AQ35" s="312"/>
      <c r="AR35" s="312"/>
      <c r="AS35" s="312"/>
      <c r="AT35" s="313"/>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294"/>
      <c r="C36" s="294"/>
      <c r="D36" s="295"/>
      <c r="E36" s="262" t="s">
        <v>114</v>
      </c>
      <c r="F36" s="263"/>
      <c r="G36" s="263"/>
      <c r="H36" s="263"/>
      <c r="I36" s="263"/>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296" t="s">
        <v>82</v>
      </c>
      <c r="AP36" s="297"/>
      <c r="AQ36" s="297"/>
      <c r="AR36" s="297"/>
      <c r="AS36" s="297"/>
      <c r="AT36" s="298"/>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294"/>
      <c r="C37" s="294"/>
      <c r="D37" s="295"/>
      <c r="E37" s="281"/>
      <c r="F37" s="266"/>
      <c r="G37" s="266"/>
      <c r="H37" s="266"/>
      <c r="I37" s="266"/>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
      </c>
      <c r="Q37" s="65" t="str">
        <f>IF(AND('Mapa final'!$Y$17="Baja",'Mapa final'!$AA$17="Menor"),CONCATENATE("R2C",'Mapa final'!$O$17),"")</f>
        <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R2C1</v>
      </c>
      <c r="AC37" s="50" t="str">
        <f>IF(AND('Mapa final'!$Y$17="Baja",'Mapa final'!$AA$17="Mayor"),CONCATENATE("R2C",'Mapa final'!$O$17),"")</f>
        <v>R2C2</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80"/>
      <c r="AO37" s="299"/>
      <c r="AP37" s="300"/>
      <c r="AQ37" s="300"/>
      <c r="AR37" s="300"/>
      <c r="AS37" s="300"/>
      <c r="AT37" s="301"/>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294"/>
      <c r="C38" s="294"/>
      <c r="D38" s="295"/>
      <c r="E38" s="265"/>
      <c r="F38" s="266"/>
      <c r="G38" s="266"/>
      <c r="H38" s="266"/>
      <c r="I38" s="266"/>
      <c r="J38" s="73" t="str">
        <f>IF(AND('Mapa final'!$Y$22="Baja",'Mapa final'!$AA$22="Leve"),CONCATENATE("R3C",'Mapa final'!$O$22),"")</f>
        <v/>
      </c>
      <c r="K38" s="74" t="str">
        <f>IF(AND('Mapa final'!$Y$23="Baja",'Mapa final'!$AA$23="Leve"),CONCATENATE("R3C",'Mapa final'!$O$23),"")</f>
        <v/>
      </c>
      <c r="L38" s="74" t="str">
        <f>IF(AND('Mapa final'!$Y$24="Baja",'Mapa final'!$AA$24="Leve"),CONCATENATE("R3C",'Mapa final'!$O$24),"")</f>
        <v/>
      </c>
      <c r="M38" s="74" t="str">
        <f>IF(AND('Mapa final'!$Y$25="Baja",'Mapa final'!$AA$25="Leve"),CONCATENATE("R3C",'Mapa final'!$O$25),"")</f>
        <v/>
      </c>
      <c r="N38" s="74" t="str">
        <f>IF(AND('Mapa final'!$Y$26="Baja",'Mapa final'!$AA$26="Leve"),CONCATENATE("R3C",'Mapa final'!$O$26),"")</f>
        <v/>
      </c>
      <c r="O38" s="75" t="str">
        <f>IF(AND('Mapa final'!$Y$27="Baja",'Mapa final'!$AA$27="Leve"),CONCATENATE("R3C",'Mapa final'!$O$27),"")</f>
        <v/>
      </c>
      <c r="P38" s="64" t="str">
        <f>IF(AND('Mapa final'!$Y$22="Baja",'Mapa final'!$AA$22="Menor"),CONCATENATE("R3C",'Mapa final'!$O$22),"")</f>
        <v/>
      </c>
      <c r="Q38" s="65" t="str">
        <f>IF(AND('Mapa final'!$Y$23="Baja",'Mapa final'!$AA$23="Menor"),CONCATENATE("R3C",'Mapa final'!$O$23),"")</f>
        <v>R3C2</v>
      </c>
      <c r="R38" s="65" t="str">
        <f>IF(AND('Mapa final'!$Y$24="Baja",'Mapa final'!$AA$24="Menor"),CONCATENATE("R3C",'Mapa final'!$O$24),"")</f>
        <v/>
      </c>
      <c r="S38" s="65" t="str">
        <f>IF(AND('Mapa final'!$Y$25="Baja",'Mapa final'!$AA$25="Menor"),CONCATENATE("R3C",'Mapa final'!$O$25),"")</f>
        <v/>
      </c>
      <c r="T38" s="65" t="str">
        <f>IF(AND('Mapa final'!$Y$26="Baja",'Mapa final'!$AA$26="Menor"),CONCATENATE("R3C",'Mapa final'!$O$26),"")</f>
        <v/>
      </c>
      <c r="U38" s="66" t="str">
        <f>IF(AND('Mapa final'!$Y$27="Baja",'Mapa final'!$AA$27="Menor"),CONCATENATE("R3C",'Mapa final'!$O$27),"")</f>
        <v/>
      </c>
      <c r="V38" s="64" t="str">
        <f>IF(AND('Mapa final'!$Y$22="Baja",'Mapa final'!$AA$22="Moderado"),CONCATENATE("R3C",'Mapa final'!$O$22),"")</f>
        <v/>
      </c>
      <c r="W38" s="65" t="str">
        <f>IF(AND('Mapa final'!$Y$23="Baja",'Mapa final'!$AA$23="Moderado"),CONCATENATE("R3C",'Mapa final'!$O$23),"")</f>
        <v/>
      </c>
      <c r="X38" s="65" t="str">
        <f>IF(AND('Mapa final'!$Y$24="Baja",'Mapa final'!$AA$24="Moderado"),CONCATENATE("R3C",'Mapa final'!$O$24),"")</f>
        <v/>
      </c>
      <c r="Y38" s="65" t="str">
        <f>IF(AND('Mapa final'!$Y$25="Baja",'Mapa final'!$AA$25="Moderado"),CONCATENATE("R3C",'Mapa final'!$O$25),"")</f>
        <v/>
      </c>
      <c r="Z38" s="65" t="str">
        <f>IF(AND('Mapa final'!$Y$26="Baja",'Mapa final'!$AA$26="Moderado"),CONCATENATE("R3C",'Mapa final'!$O$26),"")</f>
        <v/>
      </c>
      <c r="AA38" s="66" t="str">
        <f>IF(AND('Mapa final'!$Y$27="Baja",'Mapa final'!$AA$27="Moderado"),CONCATENATE("R3C",'Mapa final'!$O$27),"")</f>
        <v/>
      </c>
      <c r="AB38" s="49" t="str">
        <f>IF(AND('Mapa final'!$Y$22="Baja",'Mapa final'!$AA$22="Mayor"),CONCATENATE("R3C",'Mapa final'!$O$22),"")</f>
        <v/>
      </c>
      <c r="AC38" s="50" t="str">
        <f>IF(AND('Mapa final'!$Y$23="Baja",'Mapa final'!$AA$23="Mayor"),CONCATENATE("R3C",'Mapa final'!$O$23),"")</f>
        <v/>
      </c>
      <c r="AD38" s="50" t="str">
        <f>IF(AND('Mapa final'!$Y$24="Baja",'Mapa final'!$AA$24="Mayor"),CONCATENATE("R3C",'Mapa final'!$O$24),"")</f>
        <v/>
      </c>
      <c r="AE38" s="50" t="str">
        <f>IF(AND('Mapa final'!$Y$25="Baja",'Mapa final'!$AA$25="Mayor"),CONCATENATE("R3C",'Mapa final'!$O$25),"")</f>
        <v/>
      </c>
      <c r="AF38" s="50" t="str">
        <f>IF(AND('Mapa final'!$Y$26="Baja",'Mapa final'!$AA$26="Mayor"),CONCATENATE("R3C",'Mapa final'!$O$26),"")</f>
        <v/>
      </c>
      <c r="AG38" s="51" t="str">
        <f>IF(AND('Mapa final'!$Y$27="Baja",'Mapa final'!$AA$27="Mayor"),CONCATENATE("R3C",'Mapa final'!$O$27),"")</f>
        <v/>
      </c>
      <c r="AH38" s="52" t="str">
        <f>IF(AND('Mapa final'!$Y$22="Baja",'Mapa final'!$AA$22="Catastrófico"),CONCATENATE("R3C",'Mapa final'!$O$22),"")</f>
        <v/>
      </c>
      <c r="AI38" s="53" t="str">
        <f>IF(AND('Mapa final'!$Y$23="Baja",'Mapa final'!$AA$23="Catastrófico"),CONCATENATE("R3C",'Mapa final'!$O$23),"")</f>
        <v/>
      </c>
      <c r="AJ38" s="53" t="str">
        <f>IF(AND('Mapa final'!$Y$24="Baja",'Mapa final'!$AA$24="Catastrófico"),CONCATENATE("R3C",'Mapa final'!$O$24),"")</f>
        <v/>
      </c>
      <c r="AK38" s="53" t="str">
        <f>IF(AND('Mapa final'!$Y$25="Baja",'Mapa final'!$AA$25="Catastrófico"),CONCATENATE("R3C",'Mapa final'!$O$25),"")</f>
        <v/>
      </c>
      <c r="AL38" s="53" t="str">
        <f>IF(AND('Mapa final'!$Y$26="Baja",'Mapa final'!$AA$26="Catastrófico"),CONCATENATE("R3C",'Mapa final'!$O$26),"")</f>
        <v/>
      </c>
      <c r="AM38" s="54" t="str">
        <f>IF(AND('Mapa final'!$Y$27="Baja",'Mapa final'!$AA$27="Catastrófico"),CONCATENATE("R3C",'Mapa final'!$O$27),"")</f>
        <v/>
      </c>
      <c r="AN38" s="80"/>
      <c r="AO38" s="299"/>
      <c r="AP38" s="300"/>
      <c r="AQ38" s="300"/>
      <c r="AR38" s="300"/>
      <c r="AS38" s="300"/>
      <c r="AT38" s="301"/>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294"/>
      <c r="C39" s="294"/>
      <c r="D39" s="295"/>
      <c r="E39" s="265"/>
      <c r="F39" s="266"/>
      <c r="G39" s="266"/>
      <c r="H39" s="266"/>
      <c r="I39" s="266"/>
      <c r="J39" s="73" t="str">
        <f>IF(AND('Mapa final'!$Y$28="Baja",'Mapa final'!$AA$28="Leve"),CONCATENATE("R4C",'Mapa final'!$O$28),"")</f>
        <v/>
      </c>
      <c r="K39" s="74" t="e">
        <f>IF(AND('Mapa final'!#REF!="Baja",'Mapa final'!#REF!="Leve"),CONCATENATE("R4C",'Mapa final'!#REF!),"")</f>
        <v>#REF!</v>
      </c>
      <c r="L39" s="74" t="str">
        <f>IF(AND('Mapa final'!$Y$29="Baja",'Mapa final'!$AA$29="Leve"),CONCATENATE("R4C",'Mapa final'!$O$29),"")</f>
        <v/>
      </c>
      <c r="M39" s="74" t="str">
        <f>IF(AND('Mapa final'!$Y$30="Baja",'Mapa final'!$AA$30="Leve"),CONCATENATE("R4C",'Mapa final'!$O$30),"")</f>
        <v/>
      </c>
      <c r="N39" s="74" t="str">
        <f>IF(AND('Mapa final'!$Y$31="Baja",'Mapa final'!$AA$31="Leve"),CONCATENATE("R4C",'Mapa final'!$O$31),"")</f>
        <v/>
      </c>
      <c r="O39" s="75" t="str">
        <f>IF(AND('Mapa final'!$Y$32="Baja",'Mapa final'!$AA$32="Leve"),CONCATENATE("R4C",'Mapa final'!$O$32),"")</f>
        <v/>
      </c>
      <c r="P39" s="64" t="str">
        <f>IF(AND('Mapa final'!$Y$28="Baja",'Mapa final'!$AA$28="Menor"),CONCATENATE("R4C",'Mapa final'!$O$28),"")</f>
        <v/>
      </c>
      <c r="Q39" s="65" t="e">
        <f>IF(AND('Mapa final'!#REF!="Baja",'Mapa final'!#REF!="Menor"),CONCATENATE("R4C",'Mapa final'!#REF!),"")</f>
        <v>#REF!</v>
      </c>
      <c r="R39" s="65" t="str">
        <f>IF(AND('Mapa final'!$Y$29="Baja",'Mapa final'!$AA$29="Menor"),CONCATENATE("R4C",'Mapa final'!$O$29),"")</f>
        <v/>
      </c>
      <c r="S39" s="65" t="str">
        <f>IF(AND('Mapa final'!$Y$30="Baja",'Mapa final'!$AA$30="Menor"),CONCATENATE("R4C",'Mapa final'!$O$30),"")</f>
        <v/>
      </c>
      <c r="T39" s="65" t="str">
        <f>IF(AND('Mapa final'!$Y$31="Baja",'Mapa final'!$AA$31="Menor"),CONCATENATE("R4C",'Mapa final'!$O$31),"")</f>
        <v/>
      </c>
      <c r="U39" s="66" t="str">
        <f>IF(AND('Mapa final'!$Y$32="Baja",'Mapa final'!$AA$32="Menor"),CONCATENATE("R4C",'Mapa final'!$O$32),"")</f>
        <v/>
      </c>
      <c r="V39" s="64" t="str">
        <f>IF(AND('Mapa final'!$Y$28="Baja",'Mapa final'!$AA$28="Moderado"),CONCATENATE("R4C",'Mapa final'!$O$28),"")</f>
        <v>R4C1</v>
      </c>
      <c r="W39" s="65" t="e">
        <f>IF(AND('Mapa final'!#REF!="Baja",'Mapa final'!#REF!="Moderado"),CONCATENATE("R4C",'Mapa final'!#REF!),"")</f>
        <v>#REF!</v>
      </c>
      <c r="X39" s="65" t="str">
        <f>IF(AND('Mapa final'!$Y$29="Baja",'Mapa final'!$AA$29="Moderado"),CONCATENATE("R4C",'Mapa final'!$O$29),"")</f>
        <v/>
      </c>
      <c r="Y39" s="65" t="str">
        <f>IF(AND('Mapa final'!$Y$30="Baja",'Mapa final'!$AA$30="Moderado"),CONCATENATE("R4C",'Mapa final'!$O$30),"")</f>
        <v/>
      </c>
      <c r="Z39" s="65" t="str">
        <f>IF(AND('Mapa final'!$Y$31="Baja",'Mapa final'!$AA$31="Moderado"),CONCATENATE("R4C",'Mapa final'!$O$31),"")</f>
        <v/>
      </c>
      <c r="AA39" s="66" t="str">
        <f>IF(AND('Mapa final'!$Y$32="Baja",'Mapa final'!$AA$32="Moderado"),CONCATENATE("R4C",'Mapa final'!$O$32),"")</f>
        <v/>
      </c>
      <c r="AB39" s="49" t="str">
        <f>IF(AND('Mapa final'!$Y$28="Baja",'Mapa final'!$AA$28="Mayor"),CONCATENATE("R4C",'Mapa final'!$O$28),"")</f>
        <v/>
      </c>
      <c r="AC39" s="50" t="e">
        <f>IF(AND('Mapa final'!#REF!="Baja",'Mapa final'!#REF!="Mayor"),CONCATENATE("R4C",'Mapa final'!#REF!),"")</f>
        <v>#REF!</v>
      </c>
      <c r="AD39" s="50" t="str">
        <f>IF(AND('Mapa final'!$Y$29="Baja",'Mapa final'!$AA$29="Mayor"),CONCATENATE("R4C",'Mapa final'!$O$29),"")</f>
        <v/>
      </c>
      <c r="AE39" s="50" t="str">
        <f>IF(AND('Mapa final'!$Y$30="Baja",'Mapa final'!$AA$30="Mayor"),CONCATENATE("R4C",'Mapa final'!$O$30),"")</f>
        <v/>
      </c>
      <c r="AF39" s="50" t="str">
        <f>IF(AND('Mapa final'!$Y$31="Baja",'Mapa final'!$AA$31="Mayor"),CONCATENATE("R4C",'Mapa final'!$O$31),"")</f>
        <v/>
      </c>
      <c r="AG39" s="51" t="str">
        <f>IF(AND('Mapa final'!$Y$32="Baja",'Mapa final'!$AA$32="Mayor"),CONCATENATE("R4C",'Mapa final'!$O$32),"")</f>
        <v/>
      </c>
      <c r="AH39" s="52" t="str">
        <f>IF(AND('Mapa final'!$Y$28="Baja",'Mapa final'!$AA$28="Catastrófico"),CONCATENATE("R4C",'Mapa final'!$O$28),"")</f>
        <v/>
      </c>
      <c r="AI39" s="53" t="e">
        <f>IF(AND('Mapa final'!#REF!="Baja",'Mapa final'!#REF!="Catastrófico"),CONCATENATE("R4C",'Mapa final'!#REF!),"")</f>
        <v>#REF!</v>
      </c>
      <c r="AJ39" s="53" t="str">
        <f>IF(AND('Mapa final'!$Y$29="Baja",'Mapa final'!$AA$29="Catastrófico"),CONCATENATE("R4C",'Mapa final'!$O$29),"")</f>
        <v/>
      </c>
      <c r="AK39" s="53" t="str">
        <f>IF(AND('Mapa final'!$Y$30="Baja",'Mapa final'!$AA$30="Catastrófico"),CONCATENATE("R4C",'Mapa final'!$O$30),"")</f>
        <v/>
      </c>
      <c r="AL39" s="53" t="str">
        <f>IF(AND('Mapa final'!$Y$31="Baja",'Mapa final'!$AA$31="Catastrófico"),CONCATENATE("R4C",'Mapa final'!$O$31),"")</f>
        <v/>
      </c>
      <c r="AM39" s="54" t="str">
        <f>IF(AND('Mapa final'!$Y$32="Baja",'Mapa final'!$AA$32="Catastrófico"),CONCATENATE("R4C",'Mapa final'!$O$32),"")</f>
        <v/>
      </c>
      <c r="AN39" s="80"/>
      <c r="AO39" s="299"/>
      <c r="AP39" s="300"/>
      <c r="AQ39" s="300"/>
      <c r="AR39" s="300"/>
      <c r="AS39" s="300"/>
      <c r="AT39" s="301"/>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294"/>
      <c r="C40" s="294"/>
      <c r="D40" s="295"/>
      <c r="E40" s="265"/>
      <c r="F40" s="266"/>
      <c r="G40" s="266"/>
      <c r="H40" s="266"/>
      <c r="I40" s="266"/>
      <c r="J40" s="73" t="str">
        <f>IF(AND('Mapa final'!$Y$33="Baja",'Mapa final'!$AA$33="Leve"),CONCATENATE("R5C",'Mapa final'!$O$33),"")</f>
        <v/>
      </c>
      <c r="K40" s="74" t="str">
        <f>IF(AND('Mapa final'!$Y$34="Baja",'Mapa final'!$AA$34="Leve"),CONCATENATE("R5C",'Mapa final'!$O$34),"")</f>
        <v/>
      </c>
      <c r="L40" s="74" t="str">
        <f>IF(AND('Mapa final'!$Y$35="Baja",'Mapa final'!$AA$35="Leve"),CONCATENATE("R5C",'Mapa final'!$O$35),"")</f>
        <v/>
      </c>
      <c r="M40" s="74" t="str">
        <f>IF(AND('Mapa final'!$Y$36="Baja",'Mapa final'!$AA$36="Leve"),CONCATENATE("R5C",'Mapa final'!$O$36),"")</f>
        <v/>
      </c>
      <c r="N40" s="74" t="str">
        <f>IF(AND('Mapa final'!$Y$37="Baja",'Mapa final'!$AA$37="Leve"),CONCATENATE("R5C",'Mapa final'!$O$37),"")</f>
        <v/>
      </c>
      <c r="O40" s="75" t="str">
        <f>IF(AND('Mapa final'!$Y$38="Baja",'Mapa final'!$AA$38="Leve"),CONCATENATE("R5C",'Mapa final'!$O$38),"")</f>
        <v/>
      </c>
      <c r="P40" s="64" t="str">
        <f>IF(AND('Mapa final'!$Y$33="Baja",'Mapa final'!$AA$33="Menor"),CONCATENATE("R5C",'Mapa final'!$O$33),"")</f>
        <v/>
      </c>
      <c r="Q40" s="65" t="str">
        <f>IF(AND('Mapa final'!$Y$34="Baja",'Mapa final'!$AA$34="Menor"),CONCATENATE("R5C",'Mapa final'!$O$34),"")</f>
        <v/>
      </c>
      <c r="R40" s="65" t="str">
        <f>IF(AND('Mapa final'!$Y$35="Baja",'Mapa final'!$AA$35="Menor"),CONCATENATE("R5C",'Mapa final'!$O$35),"")</f>
        <v/>
      </c>
      <c r="S40" s="65" t="str">
        <f>IF(AND('Mapa final'!$Y$36="Baja",'Mapa final'!$AA$36="Menor"),CONCATENATE("R5C",'Mapa final'!$O$36),"")</f>
        <v/>
      </c>
      <c r="T40" s="65" t="str">
        <f>IF(AND('Mapa final'!$Y$37="Baja",'Mapa final'!$AA$37="Menor"),CONCATENATE("R5C",'Mapa final'!$O$37),"")</f>
        <v/>
      </c>
      <c r="U40" s="66" t="str">
        <f>IF(AND('Mapa final'!$Y$38="Baja",'Mapa final'!$AA$38="Menor"),CONCATENATE("R5C",'Mapa final'!$O$38),"")</f>
        <v/>
      </c>
      <c r="V40" s="64" t="str">
        <f>IF(AND('Mapa final'!$Y$33="Baja",'Mapa final'!$AA$33="Moderado"),CONCATENATE("R5C",'Mapa final'!$O$33),"")</f>
        <v/>
      </c>
      <c r="W40" s="65" t="str">
        <f>IF(AND('Mapa final'!$Y$34="Baja",'Mapa final'!$AA$34="Moderado"),CONCATENATE("R5C",'Mapa final'!$O$34),"")</f>
        <v/>
      </c>
      <c r="X40" s="65" t="str">
        <f>IF(AND('Mapa final'!$Y$35="Baja",'Mapa final'!$AA$35="Moderado"),CONCATENATE("R5C",'Mapa final'!$O$35),"")</f>
        <v/>
      </c>
      <c r="Y40" s="65" t="str">
        <f>IF(AND('Mapa final'!$Y$36="Baja",'Mapa final'!$AA$36="Moderado"),CONCATENATE("R5C",'Mapa final'!$O$36),"")</f>
        <v/>
      </c>
      <c r="Z40" s="65" t="str">
        <f>IF(AND('Mapa final'!$Y$37="Baja",'Mapa final'!$AA$37="Moderado"),CONCATENATE("R5C",'Mapa final'!$O$37),"")</f>
        <v/>
      </c>
      <c r="AA40" s="66" t="str">
        <f>IF(AND('Mapa final'!$Y$38="Baja",'Mapa final'!$AA$38="Moderado"),CONCATENATE("R5C",'Mapa final'!$O$38),"")</f>
        <v/>
      </c>
      <c r="AB40" s="49" t="str">
        <f>IF(AND('Mapa final'!$Y$33="Baja",'Mapa final'!$AA$33="Mayor"),CONCATENATE("R5C",'Mapa final'!$O$33),"")</f>
        <v/>
      </c>
      <c r="AC40" s="50" t="str">
        <f>IF(AND('Mapa final'!$Y$34="Baja",'Mapa final'!$AA$34="Mayor"),CONCATENATE("R5C",'Mapa final'!$O$34),"")</f>
        <v>R5C2</v>
      </c>
      <c r="AD40" s="50" t="str">
        <f>IF(AND('Mapa final'!$Y$35="Baja",'Mapa final'!$AA$35="Mayor"),CONCATENATE("R5C",'Mapa final'!$O$35),"")</f>
        <v/>
      </c>
      <c r="AE40" s="50" t="str">
        <f>IF(AND('Mapa final'!$Y$36="Baja",'Mapa final'!$AA$36="Mayor"),CONCATENATE("R5C",'Mapa final'!$O$36),"")</f>
        <v/>
      </c>
      <c r="AF40" s="50" t="str">
        <f>IF(AND('Mapa final'!$Y$37="Baja",'Mapa final'!$AA$37="Mayor"),CONCATENATE("R5C",'Mapa final'!$O$37),"")</f>
        <v/>
      </c>
      <c r="AG40" s="51" t="str">
        <f>IF(AND('Mapa final'!$Y$38="Baja",'Mapa final'!$AA$38="Mayor"),CONCATENATE("R5C",'Mapa final'!$O$38),"")</f>
        <v/>
      </c>
      <c r="AH40" s="52" t="str">
        <f>IF(AND('Mapa final'!$Y$33="Baja",'Mapa final'!$AA$33="Catastrófico"),CONCATENATE("R5C",'Mapa final'!$O$33),"")</f>
        <v/>
      </c>
      <c r="AI40" s="53" t="str">
        <f>IF(AND('Mapa final'!$Y$34="Baja",'Mapa final'!$AA$34="Catastrófico"),CONCATENATE("R5C",'Mapa final'!$O$34),"")</f>
        <v/>
      </c>
      <c r="AJ40" s="53" t="str">
        <f>IF(AND('Mapa final'!$Y$35="Baja",'Mapa final'!$AA$35="Catastrófico"),CONCATENATE("R5C",'Mapa final'!$O$35),"")</f>
        <v/>
      </c>
      <c r="AK40" s="53" t="str">
        <f>IF(AND('Mapa final'!$Y$36="Baja",'Mapa final'!$AA$36="Catastrófico"),CONCATENATE("R5C",'Mapa final'!$O$36),"")</f>
        <v/>
      </c>
      <c r="AL40" s="53" t="str">
        <f>IF(AND('Mapa final'!$Y$37="Baja",'Mapa final'!$AA$37="Catastrófico"),CONCATENATE("R5C",'Mapa final'!$O$37),"")</f>
        <v/>
      </c>
      <c r="AM40" s="54" t="str">
        <f>IF(AND('Mapa final'!$Y$38="Baja",'Mapa final'!$AA$38="Catastrófico"),CONCATENATE("R5C",'Mapa final'!$O$38),"")</f>
        <v/>
      </c>
      <c r="AN40" s="80"/>
      <c r="AO40" s="299"/>
      <c r="AP40" s="300"/>
      <c r="AQ40" s="300"/>
      <c r="AR40" s="300"/>
      <c r="AS40" s="300"/>
      <c r="AT40" s="301"/>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294"/>
      <c r="C41" s="294"/>
      <c r="D41" s="295"/>
      <c r="E41" s="265"/>
      <c r="F41" s="266"/>
      <c r="G41" s="266"/>
      <c r="H41" s="266"/>
      <c r="I41" s="266"/>
      <c r="J41" s="73" t="e">
        <f>IF(AND('Mapa final'!#REF!="Baja",'Mapa final'!#REF!="Leve"),CONCATENATE("R6C",'Mapa final'!#REF!),"")</f>
        <v>#REF!</v>
      </c>
      <c r="K41" s="74" t="e">
        <f>IF(AND('Mapa final'!#REF!="Baja",'Mapa final'!#REF!="Leve"),CONCATENATE("R6C",'Mapa final'!#REF!),"")</f>
        <v>#REF!</v>
      </c>
      <c r="L41" s="74" t="e">
        <f>IF(AND('Mapa final'!#REF!="Baja",'Mapa final'!#REF!="Leve"),CONCATENATE("R6C",'Mapa final'!#REF!),"")</f>
        <v>#REF!</v>
      </c>
      <c r="M41" s="74" t="e">
        <f>IF(AND('Mapa final'!#REF!="Baja",'Mapa final'!#REF!="Leve"),CONCATENATE("R6C",'Mapa final'!#REF!),"")</f>
        <v>#REF!</v>
      </c>
      <c r="N41" s="74" t="e">
        <f>IF(AND('Mapa final'!#REF!="Baja",'Mapa final'!#REF!="Leve"),CONCATENATE("R6C",'Mapa final'!#REF!),"")</f>
        <v>#REF!</v>
      </c>
      <c r="O41" s="75" t="e">
        <f>IF(AND('Mapa final'!#REF!="Baja",'Mapa final'!#REF!="Leve"),CONCATENATE("R6C",'Mapa final'!#REF!),"")</f>
        <v>#REF!</v>
      </c>
      <c r="P41" s="64" t="e">
        <f>IF(AND('Mapa final'!#REF!="Baja",'Mapa final'!#REF!="Menor"),CONCATENATE("R6C",'Mapa final'!#REF!),"")</f>
        <v>#REF!</v>
      </c>
      <c r="Q41" s="65" t="e">
        <f>IF(AND('Mapa final'!#REF!="Baja",'Mapa final'!#REF!="Menor"),CONCATENATE("R6C",'Mapa final'!#REF!),"")</f>
        <v>#REF!</v>
      </c>
      <c r="R41" s="65" t="e">
        <f>IF(AND('Mapa final'!#REF!="Baja",'Mapa final'!#REF!="Menor"),CONCATENATE("R6C",'Mapa final'!#REF!),"")</f>
        <v>#REF!</v>
      </c>
      <c r="S41" s="65" t="e">
        <f>IF(AND('Mapa final'!#REF!="Baja",'Mapa final'!#REF!="Menor"),CONCATENATE("R6C",'Mapa final'!#REF!),"")</f>
        <v>#REF!</v>
      </c>
      <c r="T41" s="65" t="e">
        <f>IF(AND('Mapa final'!#REF!="Baja",'Mapa final'!#REF!="Menor"),CONCATENATE("R6C",'Mapa final'!#REF!),"")</f>
        <v>#REF!</v>
      </c>
      <c r="U41" s="66" t="e">
        <f>IF(AND('Mapa final'!#REF!="Baja",'Mapa final'!#REF!="Menor"),CONCATENATE("R6C",'Mapa final'!#REF!),"")</f>
        <v>#REF!</v>
      </c>
      <c r="V41" s="64" t="e">
        <f>IF(AND('Mapa final'!#REF!="Baja",'Mapa final'!#REF!="Moderado"),CONCATENATE("R6C",'Mapa final'!#REF!),"")</f>
        <v>#REF!</v>
      </c>
      <c r="W41" s="65" t="e">
        <f>IF(AND('Mapa final'!#REF!="Baja",'Mapa final'!#REF!="Moderado"),CONCATENATE("R6C",'Mapa final'!#REF!),"")</f>
        <v>#REF!</v>
      </c>
      <c r="X41" s="65" t="e">
        <f>IF(AND('Mapa final'!#REF!="Baja",'Mapa final'!#REF!="Moderado"),CONCATENATE("R6C",'Mapa final'!#REF!),"")</f>
        <v>#REF!</v>
      </c>
      <c r="Y41" s="65" t="e">
        <f>IF(AND('Mapa final'!#REF!="Baja",'Mapa final'!#REF!="Moderado"),CONCATENATE("R6C",'Mapa final'!#REF!),"")</f>
        <v>#REF!</v>
      </c>
      <c r="Z41" s="65" t="e">
        <f>IF(AND('Mapa final'!#REF!="Baja",'Mapa final'!#REF!="Moderado"),CONCATENATE("R6C",'Mapa final'!#REF!),"")</f>
        <v>#REF!</v>
      </c>
      <c r="AA41" s="66" t="e">
        <f>IF(AND('Mapa final'!#REF!="Baja",'Mapa final'!#REF!="Moderado"),CONCATENATE("R6C",'Mapa final'!#REF!),"")</f>
        <v>#REF!</v>
      </c>
      <c r="AB41" s="49" t="e">
        <f>IF(AND('Mapa final'!#REF!="Baja",'Mapa final'!#REF!="Mayor"),CONCATENATE("R6C",'Mapa final'!#REF!),"")</f>
        <v>#REF!</v>
      </c>
      <c r="AC41" s="50" t="e">
        <f>IF(AND('Mapa final'!#REF!="Baja",'Mapa final'!#REF!="Mayor"),CONCATENATE("R6C",'Mapa final'!#REF!),"")</f>
        <v>#REF!</v>
      </c>
      <c r="AD41" s="50" t="e">
        <f>IF(AND('Mapa final'!#REF!="Baja",'Mapa final'!#REF!="Mayor"),CONCATENATE("R6C",'Mapa final'!#REF!),"")</f>
        <v>#REF!</v>
      </c>
      <c r="AE41" s="50" t="e">
        <f>IF(AND('Mapa final'!#REF!="Baja",'Mapa final'!#REF!="Mayor"),CONCATENATE("R6C",'Mapa final'!#REF!),"")</f>
        <v>#REF!</v>
      </c>
      <c r="AF41" s="50" t="e">
        <f>IF(AND('Mapa final'!#REF!="Baja",'Mapa final'!#REF!="Mayor"),CONCATENATE("R6C",'Mapa final'!#REF!),"")</f>
        <v>#REF!</v>
      </c>
      <c r="AG41" s="51" t="e">
        <f>IF(AND('Mapa final'!#REF!="Baja",'Mapa final'!#REF!="Mayor"),CONCATENATE("R6C",'Mapa final'!#REF!),"")</f>
        <v>#REF!</v>
      </c>
      <c r="AH41" s="52" t="e">
        <f>IF(AND('Mapa final'!#REF!="Baja",'Mapa final'!#REF!="Catastrófico"),CONCATENATE("R6C",'Mapa final'!#REF!),"")</f>
        <v>#REF!</v>
      </c>
      <c r="AI41" s="53" t="e">
        <f>IF(AND('Mapa final'!#REF!="Baja",'Mapa final'!#REF!="Catastrófico"),CONCATENATE("R6C",'Mapa final'!#REF!),"")</f>
        <v>#REF!</v>
      </c>
      <c r="AJ41" s="53" t="e">
        <f>IF(AND('Mapa final'!#REF!="Baja",'Mapa final'!#REF!="Catastrófico"),CONCATENATE("R6C",'Mapa final'!#REF!),"")</f>
        <v>#REF!</v>
      </c>
      <c r="AK41" s="53" t="e">
        <f>IF(AND('Mapa final'!#REF!="Baja",'Mapa final'!#REF!="Catastrófico"),CONCATENATE("R6C",'Mapa final'!#REF!),"")</f>
        <v>#REF!</v>
      </c>
      <c r="AL41" s="53" t="e">
        <f>IF(AND('Mapa final'!#REF!="Baja",'Mapa final'!#REF!="Catastrófico"),CONCATENATE("R6C",'Mapa final'!#REF!),"")</f>
        <v>#REF!</v>
      </c>
      <c r="AM41" s="54" t="e">
        <f>IF(AND('Mapa final'!#REF!="Baja",'Mapa final'!#REF!="Catastrófico"),CONCATENATE("R6C",'Mapa final'!#REF!),"")</f>
        <v>#REF!</v>
      </c>
      <c r="AN41" s="80"/>
      <c r="AO41" s="299"/>
      <c r="AP41" s="300"/>
      <c r="AQ41" s="300"/>
      <c r="AR41" s="300"/>
      <c r="AS41" s="300"/>
      <c r="AT41" s="301"/>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294"/>
      <c r="C42" s="294"/>
      <c r="D42" s="295"/>
      <c r="E42" s="265"/>
      <c r="F42" s="266"/>
      <c r="G42" s="266"/>
      <c r="H42" s="266"/>
      <c r="I42" s="266"/>
      <c r="J42" s="73" t="str">
        <f>IF(AND('Mapa final'!$Y$39="Baja",'Mapa final'!$AA$39="Leve"),CONCATENATE("R7C",'Mapa final'!$O$39),"")</f>
        <v/>
      </c>
      <c r="K42" s="74" t="str">
        <f>IF(AND('Mapa final'!$Y$40="Baja",'Mapa final'!$AA$40="Leve"),CONCATENATE("R7C",'Mapa final'!$O$40),"")</f>
        <v/>
      </c>
      <c r="L42" s="74" t="str">
        <f>IF(AND('Mapa final'!$Y$41="Baja",'Mapa final'!$AA$41="Leve"),CONCATENATE("R7C",'Mapa final'!$O$41),"")</f>
        <v/>
      </c>
      <c r="M42" s="74" t="str">
        <f>IF(AND('Mapa final'!$Y$42="Baja",'Mapa final'!$AA$42="Leve"),CONCATENATE("R7C",'Mapa final'!$O$42),"")</f>
        <v/>
      </c>
      <c r="N42" s="74" t="str">
        <f>IF(AND('Mapa final'!$Y$43="Baja",'Mapa final'!$AA$43="Leve"),CONCATENATE("R7C",'Mapa final'!$O$43),"")</f>
        <v/>
      </c>
      <c r="O42" s="75" t="str">
        <f>IF(AND('Mapa final'!$Y$44="Baja",'Mapa final'!$AA$44="Leve"),CONCATENATE("R7C",'Mapa final'!$O$44),"")</f>
        <v/>
      </c>
      <c r="P42" s="64" t="str">
        <f>IF(AND('Mapa final'!$Y$39="Baja",'Mapa final'!$AA$39="Menor"),CONCATENATE("R7C",'Mapa final'!$O$39),"")</f>
        <v/>
      </c>
      <c r="Q42" s="65" t="str">
        <f>IF(AND('Mapa final'!$Y$40="Baja",'Mapa final'!$AA$40="Menor"),CONCATENATE("R7C",'Mapa final'!$O$40),"")</f>
        <v/>
      </c>
      <c r="R42" s="65" t="str">
        <f>IF(AND('Mapa final'!$Y$41="Baja",'Mapa final'!$AA$41="Menor"),CONCATENATE("R7C",'Mapa final'!$O$41),"")</f>
        <v/>
      </c>
      <c r="S42" s="65" t="str">
        <f>IF(AND('Mapa final'!$Y$42="Baja",'Mapa final'!$AA$42="Menor"),CONCATENATE("R7C",'Mapa final'!$O$42),"")</f>
        <v/>
      </c>
      <c r="T42" s="65" t="str">
        <f>IF(AND('Mapa final'!$Y$43="Baja",'Mapa final'!$AA$43="Menor"),CONCATENATE("R7C",'Mapa final'!$O$43),"")</f>
        <v/>
      </c>
      <c r="U42" s="66" t="str">
        <f>IF(AND('Mapa final'!$Y$44="Baja",'Mapa final'!$AA$44="Menor"),CONCATENATE("R7C",'Mapa final'!$O$44),"")</f>
        <v/>
      </c>
      <c r="V42" s="64" t="str">
        <f>IF(AND('Mapa final'!$Y$39="Baja",'Mapa final'!$AA$39="Moderado"),CONCATENATE("R7C",'Mapa final'!$O$39),"")</f>
        <v/>
      </c>
      <c r="W42" s="65" t="str">
        <f>IF(AND('Mapa final'!$Y$40="Baja",'Mapa final'!$AA$40="Moderado"),CONCATENATE("R7C",'Mapa final'!$O$40),"")</f>
        <v/>
      </c>
      <c r="X42" s="65" t="str">
        <f>IF(AND('Mapa final'!$Y$41="Baja",'Mapa final'!$AA$41="Moderado"),CONCATENATE("R7C",'Mapa final'!$O$41),"")</f>
        <v/>
      </c>
      <c r="Y42" s="65" t="str">
        <f>IF(AND('Mapa final'!$Y$42="Baja",'Mapa final'!$AA$42="Moderado"),CONCATENATE("R7C",'Mapa final'!$O$42),"")</f>
        <v/>
      </c>
      <c r="Z42" s="65" t="str">
        <f>IF(AND('Mapa final'!$Y$43="Baja",'Mapa final'!$AA$43="Moderado"),CONCATENATE("R7C",'Mapa final'!$O$43),"")</f>
        <v/>
      </c>
      <c r="AA42" s="66" t="str">
        <f>IF(AND('Mapa final'!$Y$44="Baja",'Mapa final'!$AA$44="Moderado"),CONCATENATE("R7C",'Mapa final'!$O$44),"")</f>
        <v/>
      </c>
      <c r="AB42" s="49" t="str">
        <f>IF(AND('Mapa final'!$Y$39="Baja",'Mapa final'!$AA$39="Mayor"),CONCATENATE("R7C",'Mapa final'!$O$39),"")</f>
        <v/>
      </c>
      <c r="AC42" s="50" t="str">
        <f>IF(AND('Mapa final'!$Y$40="Baja",'Mapa final'!$AA$40="Mayor"),CONCATENATE("R7C",'Mapa final'!$O$40),"")</f>
        <v/>
      </c>
      <c r="AD42" s="50" t="str">
        <f>IF(AND('Mapa final'!$Y$41="Baja",'Mapa final'!$AA$41="Mayor"),CONCATENATE("R7C",'Mapa final'!$O$41),"")</f>
        <v/>
      </c>
      <c r="AE42" s="50" t="str">
        <f>IF(AND('Mapa final'!$Y$42="Baja",'Mapa final'!$AA$42="Mayor"),CONCATENATE("R7C",'Mapa final'!$O$42),"")</f>
        <v/>
      </c>
      <c r="AF42" s="50" t="str">
        <f>IF(AND('Mapa final'!$Y$43="Baja",'Mapa final'!$AA$43="Mayor"),CONCATENATE("R7C",'Mapa final'!$O$43),"")</f>
        <v/>
      </c>
      <c r="AG42" s="51" t="str">
        <f>IF(AND('Mapa final'!$Y$44="Baja",'Mapa final'!$AA$44="Mayor"),CONCATENATE("R7C",'Mapa final'!$O$44),"")</f>
        <v/>
      </c>
      <c r="AH42" s="52" t="str">
        <f>IF(AND('Mapa final'!$Y$39="Baja",'Mapa final'!$AA$39="Catastrófico"),CONCATENATE("R7C",'Mapa final'!$O$39),"")</f>
        <v/>
      </c>
      <c r="AI42" s="53" t="str">
        <f>IF(AND('Mapa final'!$Y$40="Baja",'Mapa final'!$AA$40="Catastrófico"),CONCATENATE("R7C",'Mapa final'!$O$40),"")</f>
        <v/>
      </c>
      <c r="AJ42" s="53" t="str">
        <f>IF(AND('Mapa final'!$Y$41="Baja",'Mapa final'!$AA$41="Catastrófico"),CONCATENATE("R7C",'Mapa final'!$O$41),"")</f>
        <v/>
      </c>
      <c r="AK42" s="53" t="str">
        <f>IF(AND('Mapa final'!$Y$42="Baja",'Mapa final'!$AA$42="Catastrófico"),CONCATENATE("R7C",'Mapa final'!$O$42),"")</f>
        <v/>
      </c>
      <c r="AL42" s="53" t="str">
        <f>IF(AND('Mapa final'!$Y$43="Baja",'Mapa final'!$AA$43="Catastrófico"),CONCATENATE("R7C",'Mapa final'!$O$43),"")</f>
        <v/>
      </c>
      <c r="AM42" s="54" t="str">
        <f>IF(AND('Mapa final'!$Y$44="Baja",'Mapa final'!$AA$44="Catastrófico"),CONCATENATE("R7C",'Mapa final'!$O$44),"")</f>
        <v/>
      </c>
      <c r="AN42" s="80"/>
      <c r="AO42" s="299"/>
      <c r="AP42" s="300"/>
      <c r="AQ42" s="300"/>
      <c r="AR42" s="300"/>
      <c r="AS42" s="300"/>
      <c r="AT42" s="301"/>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294"/>
      <c r="C43" s="294"/>
      <c r="D43" s="295"/>
      <c r="E43" s="265"/>
      <c r="F43" s="266"/>
      <c r="G43" s="266"/>
      <c r="H43" s="266"/>
      <c r="I43" s="266"/>
      <c r="J43" s="73" t="str">
        <f>IF(AND('Mapa final'!$Y$45="Baja",'Mapa final'!$AA$45="Leve"),CONCATENATE("R8C",'Mapa final'!$O$45),"")</f>
        <v/>
      </c>
      <c r="K43" s="74" t="str">
        <f>IF(AND('Mapa final'!$Y$46="Baja",'Mapa final'!$AA$46="Leve"),CONCATENATE("R8C",'Mapa final'!$O$46),"")</f>
        <v/>
      </c>
      <c r="L43" s="74" t="str">
        <f>IF(AND('Mapa final'!$Y$47="Baja",'Mapa final'!$AA$47="Leve"),CONCATENATE("R8C",'Mapa final'!$O$47),"")</f>
        <v/>
      </c>
      <c r="M43" s="74" t="str">
        <f>IF(AND('Mapa final'!$Y$48="Baja",'Mapa final'!$AA$48="Leve"),CONCATENATE("R8C",'Mapa final'!$O$48),"")</f>
        <v/>
      </c>
      <c r="N43" s="74" t="str">
        <f>IF(AND('Mapa final'!$Y$49="Baja",'Mapa final'!$AA$49="Leve"),CONCATENATE("R8C",'Mapa final'!$O$49),"")</f>
        <v/>
      </c>
      <c r="O43" s="75" t="str">
        <f>IF(AND('Mapa final'!$Y$50="Baja",'Mapa final'!$AA$50="Leve"),CONCATENATE("R8C",'Mapa final'!$O$50),"")</f>
        <v/>
      </c>
      <c r="P43" s="64" t="str">
        <f>IF(AND('Mapa final'!$Y$45="Baja",'Mapa final'!$AA$45="Menor"),CONCATENATE("R8C",'Mapa final'!$O$45),"")</f>
        <v/>
      </c>
      <c r="Q43" s="65" t="str">
        <f>IF(AND('Mapa final'!$Y$46="Baja",'Mapa final'!$AA$46="Menor"),CONCATENATE("R8C",'Mapa final'!$O$46),"")</f>
        <v/>
      </c>
      <c r="R43" s="65" t="str">
        <f>IF(AND('Mapa final'!$Y$47="Baja",'Mapa final'!$AA$47="Menor"),CONCATENATE("R8C",'Mapa final'!$O$47),"")</f>
        <v/>
      </c>
      <c r="S43" s="65" t="str">
        <f>IF(AND('Mapa final'!$Y$48="Baja",'Mapa final'!$AA$48="Menor"),CONCATENATE("R8C",'Mapa final'!$O$48),"")</f>
        <v/>
      </c>
      <c r="T43" s="65" t="str">
        <f>IF(AND('Mapa final'!$Y$49="Baja",'Mapa final'!$AA$49="Menor"),CONCATENATE("R8C",'Mapa final'!$O$49),"")</f>
        <v/>
      </c>
      <c r="U43" s="66" t="str">
        <f>IF(AND('Mapa final'!$Y$50="Baja",'Mapa final'!$AA$50="Menor"),CONCATENATE("R8C",'Mapa final'!$O$50),"")</f>
        <v/>
      </c>
      <c r="V43" s="64" t="str">
        <f>IF(AND('Mapa final'!$Y$45="Baja",'Mapa final'!$AA$45="Moderado"),CONCATENATE("R8C",'Mapa final'!$O$45),"")</f>
        <v/>
      </c>
      <c r="W43" s="65" t="str">
        <f>IF(AND('Mapa final'!$Y$46="Baja",'Mapa final'!$AA$46="Moderado"),CONCATENATE("R8C",'Mapa final'!$O$46),"")</f>
        <v/>
      </c>
      <c r="X43" s="65" t="str">
        <f>IF(AND('Mapa final'!$Y$47="Baja",'Mapa final'!$AA$47="Moderado"),CONCATENATE("R8C",'Mapa final'!$O$47),"")</f>
        <v/>
      </c>
      <c r="Y43" s="65" t="str">
        <f>IF(AND('Mapa final'!$Y$48="Baja",'Mapa final'!$AA$48="Moderado"),CONCATENATE("R8C",'Mapa final'!$O$48),"")</f>
        <v/>
      </c>
      <c r="Z43" s="65" t="str">
        <f>IF(AND('Mapa final'!$Y$49="Baja",'Mapa final'!$AA$49="Moderado"),CONCATENATE("R8C",'Mapa final'!$O$49),"")</f>
        <v/>
      </c>
      <c r="AA43" s="66" t="str">
        <f>IF(AND('Mapa final'!$Y$50="Baja",'Mapa final'!$AA$50="Moderado"),CONCATENATE("R8C",'Mapa final'!$O$50),"")</f>
        <v/>
      </c>
      <c r="AB43" s="49" t="str">
        <f>IF(AND('Mapa final'!$Y$45="Baja",'Mapa final'!$AA$45="Mayor"),CONCATENATE("R8C",'Mapa final'!$O$45),"")</f>
        <v/>
      </c>
      <c r="AC43" s="50" t="str">
        <f>IF(AND('Mapa final'!$Y$46="Baja",'Mapa final'!$AA$46="Mayor"),CONCATENATE("R8C",'Mapa final'!$O$46),"")</f>
        <v/>
      </c>
      <c r="AD43" s="50" t="str">
        <f>IF(AND('Mapa final'!$Y$47="Baja",'Mapa final'!$AA$47="Mayor"),CONCATENATE("R8C",'Mapa final'!$O$47),"")</f>
        <v/>
      </c>
      <c r="AE43" s="50" t="str">
        <f>IF(AND('Mapa final'!$Y$48="Baja",'Mapa final'!$AA$48="Mayor"),CONCATENATE("R8C",'Mapa final'!$O$48),"")</f>
        <v/>
      </c>
      <c r="AF43" s="50" t="str">
        <f>IF(AND('Mapa final'!$Y$49="Baja",'Mapa final'!$AA$49="Mayor"),CONCATENATE("R8C",'Mapa final'!$O$49),"")</f>
        <v/>
      </c>
      <c r="AG43" s="51" t="str">
        <f>IF(AND('Mapa final'!$Y$50="Baja",'Mapa final'!$AA$50="Mayor"),CONCATENATE("R8C",'Mapa final'!$O$50),"")</f>
        <v/>
      </c>
      <c r="AH43" s="52" t="str">
        <f>IF(AND('Mapa final'!$Y$45="Baja",'Mapa final'!$AA$45="Catastrófico"),CONCATENATE("R8C",'Mapa final'!$O$45),"")</f>
        <v/>
      </c>
      <c r="AI43" s="53" t="str">
        <f>IF(AND('Mapa final'!$Y$46="Baja",'Mapa final'!$AA$46="Catastrófico"),CONCATENATE("R8C",'Mapa final'!$O$46),"")</f>
        <v/>
      </c>
      <c r="AJ43" s="53" t="str">
        <f>IF(AND('Mapa final'!$Y$47="Baja",'Mapa final'!$AA$47="Catastrófico"),CONCATENATE("R8C",'Mapa final'!$O$47),"")</f>
        <v/>
      </c>
      <c r="AK43" s="53" t="str">
        <f>IF(AND('Mapa final'!$Y$48="Baja",'Mapa final'!$AA$48="Catastrófico"),CONCATENATE("R8C",'Mapa final'!$O$48),"")</f>
        <v/>
      </c>
      <c r="AL43" s="53" t="str">
        <f>IF(AND('Mapa final'!$Y$49="Baja",'Mapa final'!$AA$49="Catastrófico"),CONCATENATE("R8C",'Mapa final'!$O$49),"")</f>
        <v/>
      </c>
      <c r="AM43" s="54" t="str">
        <f>IF(AND('Mapa final'!$Y$50="Baja",'Mapa final'!$AA$50="Catastrófico"),CONCATENATE("R8C",'Mapa final'!$O$50),"")</f>
        <v/>
      </c>
      <c r="AN43" s="80"/>
      <c r="AO43" s="299"/>
      <c r="AP43" s="300"/>
      <c r="AQ43" s="300"/>
      <c r="AR43" s="300"/>
      <c r="AS43" s="300"/>
      <c r="AT43" s="301"/>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294"/>
      <c r="C44" s="294"/>
      <c r="D44" s="295"/>
      <c r="E44" s="265"/>
      <c r="F44" s="266"/>
      <c r="G44" s="266"/>
      <c r="H44" s="266"/>
      <c r="I44" s="266"/>
      <c r="J44" s="73" t="str">
        <f>IF(AND('Mapa final'!$Y$51="Baja",'Mapa final'!$AA$51="Leve"),CONCATENATE("R9C",'Mapa final'!$O$51),"")</f>
        <v/>
      </c>
      <c r="K44" s="74" t="str">
        <f>IF(AND('Mapa final'!$Y$52="Baja",'Mapa final'!$AA$52="Leve"),CONCATENATE("R9C",'Mapa final'!$O$52),"")</f>
        <v/>
      </c>
      <c r="L44" s="74" t="str">
        <f>IF(AND('Mapa final'!$Y$53="Baja",'Mapa final'!$AA$53="Leve"),CONCATENATE("R9C",'Mapa final'!$O$53),"")</f>
        <v/>
      </c>
      <c r="M44" s="74" t="str">
        <f>IF(AND('Mapa final'!$Y$54="Baja",'Mapa final'!$AA$54="Leve"),CONCATENATE("R9C",'Mapa final'!$O$54),"")</f>
        <v/>
      </c>
      <c r="N44" s="74" t="str">
        <f>IF(AND('Mapa final'!$Y$55="Baja",'Mapa final'!$AA$55="Leve"),CONCATENATE("R9C",'Mapa final'!$O$55),"")</f>
        <v/>
      </c>
      <c r="O44" s="75" t="str">
        <f>IF(AND('Mapa final'!$Y$56="Baja",'Mapa final'!$AA$56="Leve"),CONCATENATE("R9C",'Mapa final'!$O$56),"")</f>
        <v/>
      </c>
      <c r="P44" s="64" t="str">
        <f>IF(AND('Mapa final'!$Y$51="Baja",'Mapa final'!$AA$51="Menor"),CONCATENATE("R9C",'Mapa final'!$O$51),"")</f>
        <v/>
      </c>
      <c r="Q44" s="65" t="str">
        <f>IF(AND('Mapa final'!$Y$52="Baja",'Mapa final'!$AA$52="Menor"),CONCATENATE("R9C",'Mapa final'!$O$52),"")</f>
        <v/>
      </c>
      <c r="R44" s="65" t="str">
        <f>IF(AND('Mapa final'!$Y$53="Baja",'Mapa final'!$AA$53="Menor"),CONCATENATE("R9C",'Mapa final'!$O$53),"")</f>
        <v/>
      </c>
      <c r="S44" s="65" t="str">
        <f>IF(AND('Mapa final'!$Y$54="Baja",'Mapa final'!$AA$54="Menor"),CONCATENATE("R9C",'Mapa final'!$O$54),"")</f>
        <v/>
      </c>
      <c r="T44" s="65" t="str">
        <f>IF(AND('Mapa final'!$Y$55="Baja",'Mapa final'!$AA$55="Menor"),CONCATENATE("R9C",'Mapa final'!$O$55),"")</f>
        <v/>
      </c>
      <c r="U44" s="66" t="str">
        <f>IF(AND('Mapa final'!$Y$56="Baja",'Mapa final'!$AA$56="Menor"),CONCATENATE("R9C",'Mapa final'!$O$56),"")</f>
        <v/>
      </c>
      <c r="V44" s="64" t="str">
        <f>IF(AND('Mapa final'!$Y$51="Baja",'Mapa final'!$AA$51="Moderado"),CONCATENATE("R9C",'Mapa final'!$O$51),"")</f>
        <v/>
      </c>
      <c r="W44" s="65" t="str">
        <f>IF(AND('Mapa final'!$Y$52="Baja",'Mapa final'!$AA$52="Moderado"),CONCATENATE("R9C",'Mapa final'!$O$52),"")</f>
        <v/>
      </c>
      <c r="X44" s="65" t="str">
        <f>IF(AND('Mapa final'!$Y$53="Baja",'Mapa final'!$AA$53="Moderado"),CONCATENATE("R9C",'Mapa final'!$O$53),"")</f>
        <v/>
      </c>
      <c r="Y44" s="65" t="str">
        <f>IF(AND('Mapa final'!$Y$54="Baja",'Mapa final'!$AA$54="Moderado"),CONCATENATE("R9C",'Mapa final'!$O$54),"")</f>
        <v/>
      </c>
      <c r="Z44" s="65" t="str">
        <f>IF(AND('Mapa final'!$Y$55="Baja",'Mapa final'!$AA$55="Moderado"),CONCATENATE("R9C",'Mapa final'!$O$55),"")</f>
        <v/>
      </c>
      <c r="AA44" s="66" t="str">
        <f>IF(AND('Mapa final'!$Y$56="Baja",'Mapa final'!$AA$56="Moderado"),CONCATENATE("R9C",'Mapa final'!$O$56),"")</f>
        <v/>
      </c>
      <c r="AB44" s="49" t="str">
        <f>IF(AND('Mapa final'!$Y$51="Baja",'Mapa final'!$AA$51="Mayor"),CONCATENATE("R9C",'Mapa final'!$O$51),"")</f>
        <v/>
      </c>
      <c r="AC44" s="50" t="str">
        <f>IF(AND('Mapa final'!$Y$52="Baja",'Mapa final'!$AA$52="Mayor"),CONCATENATE("R9C",'Mapa final'!$O$52),"")</f>
        <v/>
      </c>
      <c r="AD44" s="50" t="str">
        <f>IF(AND('Mapa final'!$Y$53="Baja",'Mapa final'!$AA$53="Mayor"),CONCATENATE("R9C",'Mapa final'!$O$53),"")</f>
        <v/>
      </c>
      <c r="AE44" s="50" t="str">
        <f>IF(AND('Mapa final'!$Y$54="Baja",'Mapa final'!$AA$54="Mayor"),CONCATENATE("R9C",'Mapa final'!$O$54),"")</f>
        <v/>
      </c>
      <c r="AF44" s="50" t="str">
        <f>IF(AND('Mapa final'!$Y$55="Baja",'Mapa final'!$AA$55="Mayor"),CONCATENATE("R9C",'Mapa final'!$O$55),"")</f>
        <v/>
      </c>
      <c r="AG44" s="51" t="str">
        <f>IF(AND('Mapa final'!$Y$56="Baja",'Mapa final'!$AA$56="Mayor"),CONCATENATE("R9C",'Mapa final'!$O$56),"")</f>
        <v/>
      </c>
      <c r="AH44" s="52" t="str">
        <f>IF(AND('Mapa final'!$Y$51="Baja",'Mapa final'!$AA$51="Catastrófico"),CONCATENATE("R9C",'Mapa final'!$O$51),"")</f>
        <v/>
      </c>
      <c r="AI44" s="53" t="str">
        <f>IF(AND('Mapa final'!$Y$52="Baja",'Mapa final'!$AA$52="Catastrófico"),CONCATENATE("R9C",'Mapa final'!$O$52),"")</f>
        <v/>
      </c>
      <c r="AJ44" s="53" t="str">
        <f>IF(AND('Mapa final'!$Y$53="Baja",'Mapa final'!$AA$53="Catastrófico"),CONCATENATE("R9C",'Mapa final'!$O$53),"")</f>
        <v/>
      </c>
      <c r="AK44" s="53" t="str">
        <f>IF(AND('Mapa final'!$Y$54="Baja",'Mapa final'!$AA$54="Catastrófico"),CONCATENATE("R9C",'Mapa final'!$O$54),"")</f>
        <v/>
      </c>
      <c r="AL44" s="53" t="str">
        <f>IF(AND('Mapa final'!$Y$55="Baja",'Mapa final'!$AA$55="Catastrófico"),CONCATENATE("R9C",'Mapa final'!$O$55),"")</f>
        <v/>
      </c>
      <c r="AM44" s="54" t="str">
        <f>IF(AND('Mapa final'!$Y$56="Baja",'Mapa final'!$AA$56="Catastrófico"),CONCATENATE("R9C",'Mapa final'!$O$56),"")</f>
        <v/>
      </c>
      <c r="AN44" s="80"/>
      <c r="AO44" s="299"/>
      <c r="AP44" s="300"/>
      <c r="AQ44" s="300"/>
      <c r="AR44" s="300"/>
      <c r="AS44" s="300"/>
      <c r="AT44" s="301"/>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294"/>
      <c r="C45" s="294"/>
      <c r="D45" s="295"/>
      <c r="E45" s="268"/>
      <c r="F45" s="269"/>
      <c r="G45" s="269"/>
      <c r="H45" s="269"/>
      <c r="I45" s="269"/>
      <c r="J45" s="76" t="str">
        <f>IF(AND('Mapa final'!$Y$57="Baja",'Mapa final'!$AA$57="Leve"),CONCATENATE("R10C",'Mapa final'!$O$57),"")</f>
        <v/>
      </c>
      <c r="K45" s="77" t="str">
        <f>IF(AND('Mapa final'!$Y$58="Baja",'Mapa final'!$AA$58="Leve"),CONCATENATE("R10C",'Mapa final'!$O$58),"")</f>
        <v/>
      </c>
      <c r="L45" s="77" t="str">
        <f>IF(AND('Mapa final'!$Y$59="Baja",'Mapa final'!$AA$59="Leve"),CONCATENATE("R10C",'Mapa final'!$O$59),"")</f>
        <v/>
      </c>
      <c r="M45" s="77" t="str">
        <f>IF(AND('Mapa final'!$Y$60="Baja",'Mapa final'!$AA$60="Leve"),CONCATENATE("R10C",'Mapa final'!$O$60),"")</f>
        <v/>
      </c>
      <c r="N45" s="77" t="str">
        <f>IF(AND('Mapa final'!$Y$61="Baja",'Mapa final'!$AA$61="Leve"),CONCATENATE("R10C",'Mapa final'!$O$61),"")</f>
        <v/>
      </c>
      <c r="O45" s="78" t="str">
        <f>IF(AND('Mapa final'!$Y$62="Baja",'Mapa final'!$AA$62="Leve"),CONCATENATE("R10C",'Mapa final'!$O$62),"")</f>
        <v/>
      </c>
      <c r="P45" s="64" t="str">
        <f>IF(AND('Mapa final'!$Y$57="Baja",'Mapa final'!$AA$57="Menor"),CONCATENATE("R10C",'Mapa final'!$O$57),"")</f>
        <v/>
      </c>
      <c r="Q45" s="65" t="str">
        <f>IF(AND('Mapa final'!$Y$58="Baja",'Mapa final'!$AA$58="Menor"),CONCATENATE("R10C",'Mapa final'!$O$58),"")</f>
        <v/>
      </c>
      <c r="R45" s="65" t="str">
        <f>IF(AND('Mapa final'!$Y$59="Baja",'Mapa final'!$AA$59="Menor"),CONCATENATE("R10C",'Mapa final'!$O$59),"")</f>
        <v/>
      </c>
      <c r="S45" s="65" t="str">
        <f>IF(AND('Mapa final'!$Y$60="Baja",'Mapa final'!$AA$60="Menor"),CONCATENATE("R10C",'Mapa final'!$O$60),"")</f>
        <v/>
      </c>
      <c r="T45" s="65" t="str">
        <f>IF(AND('Mapa final'!$Y$61="Baja",'Mapa final'!$AA$61="Menor"),CONCATENATE("R10C",'Mapa final'!$O$61),"")</f>
        <v/>
      </c>
      <c r="U45" s="66" t="str">
        <f>IF(AND('Mapa final'!$Y$62="Baja",'Mapa final'!$AA$62="Menor"),CONCATENATE("R10C",'Mapa final'!$O$62),"")</f>
        <v/>
      </c>
      <c r="V45" s="67" t="str">
        <f>IF(AND('Mapa final'!$Y$57="Baja",'Mapa final'!$AA$57="Moderado"),CONCATENATE("R10C",'Mapa final'!$O$57),"")</f>
        <v/>
      </c>
      <c r="W45" s="68" t="str">
        <f>IF(AND('Mapa final'!$Y$58="Baja",'Mapa final'!$AA$58="Moderado"),CONCATENATE("R10C",'Mapa final'!$O$58),"")</f>
        <v/>
      </c>
      <c r="X45" s="68" t="str">
        <f>IF(AND('Mapa final'!$Y$59="Baja",'Mapa final'!$AA$59="Moderado"),CONCATENATE("R10C",'Mapa final'!$O$59),"")</f>
        <v/>
      </c>
      <c r="Y45" s="68" t="str">
        <f>IF(AND('Mapa final'!$Y$60="Baja",'Mapa final'!$AA$60="Moderado"),CONCATENATE("R10C",'Mapa final'!$O$60),"")</f>
        <v/>
      </c>
      <c r="Z45" s="68" t="str">
        <f>IF(AND('Mapa final'!$Y$61="Baja",'Mapa final'!$AA$61="Moderado"),CONCATENATE("R10C",'Mapa final'!$O$61),"")</f>
        <v/>
      </c>
      <c r="AA45" s="69" t="str">
        <f>IF(AND('Mapa final'!$Y$62="Baja",'Mapa final'!$AA$62="Moderado"),CONCATENATE("R10C",'Mapa final'!$O$62),"")</f>
        <v/>
      </c>
      <c r="AB45" s="55" t="str">
        <f>IF(AND('Mapa final'!$Y$57="Baja",'Mapa final'!$AA$57="Mayor"),CONCATENATE("R10C",'Mapa final'!$O$57),"")</f>
        <v/>
      </c>
      <c r="AC45" s="56" t="str">
        <f>IF(AND('Mapa final'!$Y$58="Baja",'Mapa final'!$AA$58="Mayor"),CONCATENATE("R10C",'Mapa final'!$O$58),"")</f>
        <v/>
      </c>
      <c r="AD45" s="56" t="str">
        <f>IF(AND('Mapa final'!$Y$59="Baja",'Mapa final'!$AA$59="Mayor"),CONCATENATE("R10C",'Mapa final'!$O$59),"")</f>
        <v/>
      </c>
      <c r="AE45" s="56" t="str">
        <f>IF(AND('Mapa final'!$Y$60="Baja",'Mapa final'!$AA$60="Mayor"),CONCATENATE("R10C",'Mapa final'!$O$60),"")</f>
        <v/>
      </c>
      <c r="AF45" s="56" t="str">
        <f>IF(AND('Mapa final'!$Y$61="Baja",'Mapa final'!$AA$61="Mayor"),CONCATENATE("R10C",'Mapa final'!$O$61),"")</f>
        <v/>
      </c>
      <c r="AG45" s="57" t="str">
        <f>IF(AND('Mapa final'!$Y$62="Baja",'Mapa final'!$AA$62="Mayor"),CONCATENATE("R10C",'Mapa final'!$O$62),"")</f>
        <v/>
      </c>
      <c r="AH45" s="58" t="str">
        <f>IF(AND('Mapa final'!$Y$57="Baja",'Mapa final'!$AA$57="Catastrófico"),CONCATENATE("R10C",'Mapa final'!$O$57),"")</f>
        <v/>
      </c>
      <c r="AI45" s="59" t="str">
        <f>IF(AND('Mapa final'!$Y$58="Baja",'Mapa final'!$AA$58="Catastrófico"),CONCATENATE("R10C",'Mapa final'!$O$58),"")</f>
        <v/>
      </c>
      <c r="AJ45" s="59" t="str">
        <f>IF(AND('Mapa final'!$Y$59="Baja",'Mapa final'!$AA$59="Catastrófico"),CONCATENATE("R10C",'Mapa final'!$O$59),"")</f>
        <v/>
      </c>
      <c r="AK45" s="59" t="str">
        <f>IF(AND('Mapa final'!$Y$60="Baja",'Mapa final'!$AA$60="Catastrófico"),CONCATENATE("R10C",'Mapa final'!$O$60),"")</f>
        <v/>
      </c>
      <c r="AL45" s="59" t="str">
        <f>IF(AND('Mapa final'!$Y$61="Baja",'Mapa final'!$AA$61="Catastrófico"),CONCATENATE("R10C",'Mapa final'!$O$61),"")</f>
        <v/>
      </c>
      <c r="AM45" s="60" t="str">
        <f>IF(AND('Mapa final'!$Y$62="Baja",'Mapa final'!$AA$62="Catastrófico"),CONCATENATE("R10C",'Mapa final'!$O$62),"")</f>
        <v/>
      </c>
      <c r="AN45" s="80"/>
      <c r="AO45" s="302"/>
      <c r="AP45" s="303"/>
      <c r="AQ45" s="303"/>
      <c r="AR45" s="303"/>
      <c r="AS45" s="303"/>
      <c r="AT45" s="304"/>
    </row>
    <row r="46" spans="1:80" ht="46.5" customHeight="1" x14ac:dyDescent="0.35">
      <c r="A46" s="80"/>
      <c r="B46" s="294"/>
      <c r="C46" s="294"/>
      <c r="D46" s="295"/>
      <c r="E46" s="262" t="s">
        <v>113</v>
      </c>
      <c r="F46" s="263"/>
      <c r="G46" s="263"/>
      <c r="H46" s="263"/>
      <c r="I46" s="264"/>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294"/>
      <c r="C47" s="294"/>
      <c r="D47" s="295"/>
      <c r="E47" s="281"/>
      <c r="F47" s="266"/>
      <c r="G47" s="266"/>
      <c r="H47" s="266"/>
      <c r="I47" s="267"/>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R2C3</v>
      </c>
      <c r="AE47" s="50" t="str">
        <f>IF(AND('Mapa final'!$Y$19="Muy Baja",'Mapa final'!$AA$19="Mayor"),CONCATENATE("R2C",'Mapa final'!$O$19),"")</f>
        <v>R2C4</v>
      </c>
      <c r="AF47" s="50" t="str">
        <f>IF(AND('Mapa final'!$Y$20="Muy Baja",'Mapa final'!$AA$20="Mayor"),CONCATENATE("R2C",'Mapa final'!$O$20),"")</f>
        <v>R2C5</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294"/>
      <c r="C48" s="294"/>
      <c r="D48" s="295"/>
      <c r="E48" s="281"/>
      <c r="F48" s="266"/>
      <c r="G48" s="266"/>
      <c r="H48" s="266"/>
      <c r="I48" s="267"/>
      <c r="J48" s="73" t="str">
        <f>IF(AND('Mapa final'!$Y$22="Muy Baja",'Mapa final'!$AA$22="Leve"),CONCATENATE("R3C",'Mapa final'!$O$22),"")</f>
        <v/>
      </c>
      <c r="K48" s="74" t="str">
        <f>IF(AND('Mapa final'!$Y$23="Muy Baja",'Mapa final'!$AA$23="Leve"),CONCATENATE("R3C",'Mapa final'!$O$23),"")</f>
        <v/>
      </c>
      <c r="L48" s="74" t="str">
        <f>IF(AND('Mapa final'!$Y$24="Muy Baja",'Mapa final'!$AA$24="Leve"),CONCATENATE("R3C",'Mapa final'!$O$24),"")</f>
        <v/>
      </c>
      <c r="M48" s="74" t="str">
        <f>IF(AND('Mapa final'!$Y$25="Muy Baja",'Mapa final'!$AA$25="Leve"),CONCATENATE("R3C",'Mapa final'!$O$25),"")</f>
        <v/>
      </c>
      <c r="N48" s="74" t="str">
        <f>IF(AND('Mapa final'!$Y$26="Muy Baja",'Mapa final'!$AA$26="Leve"),CONCATENATE("R3C",'Mapa final'!$O$26),"")</f>
        <v/>
      </c>
      <c r="O48" s="75" t="str">
        <f>IF(AND('Mapa final'!$Y$27="Muy Baja",'Mapa final'!$AA$27="Leve"),CONCATENATE("R3C",'Mapa final'!$O$27),"")</f>
        <v/>
      </c>
      <c r="P48" s="73" t="str">
        <f>IF(AND('Mapa final'!$Y$22="Muy Baja",'Mapa final'!$AA$22="Menor"),CONCATENATE("R3C",'Mapa final'!$O$22),"")</f>
        <v/>
      </c>
      <c r="Q48" s="74" t="str">
        <f>IF(AND('Mapa final'!$Y$23="Muy Baja",'Mapa final'!$AA$23="Menor"),CONCATENATE("R3C",'Mapa final'!$O$23),"")</f>
        <v/>
      </c>
      <c r="R48" s="74" t="str">
        <f>IF(AND('Mapa final'!$Y$24="Muy Baja",'Mapa final'!$AA$24="Menor"),CONCATENATE("R3C",'Mapa final'!$O$24),"")</f>
        <v>R3C3</v>
      </c>
      <c r="S48" s="74" t="str">
        <f>IF(AND('Mapa final'!$Y$25="Muy Baja",'Mapa final'!$AA$25="Menor"),CONCATENATE("R3C",'Mapa final'!$O$25),"")</f>
        <v>R3C4</v>
      </c>
      <c r="T48" s="74" t="str">
        <f>IF(AND('Mapa final'!$Y$26="Muy Baja",'Mapa final'!$AA$26="Menor"),CONCATENATE("R3C",'Mapa final'!$O$26),"")</f>
        <v/>
      </c>
      <c r="U48" s="75" t="str">
        <f>IF(AND('Mapa final'!$Y$27="Muy Baja",'Mapa final'!$AA$27="Menor"),CONCATENATE("R3C",'Mapa final'!$O$27),"")</f>
        <v/>
      </c>
      <c r="V48" s="64" t="str">
        <f>IF(AND('Mapa final'!$Y$22="Muy Baja",'Mapa final'!$AA$22="Moderado"),CONCATENATE("R3C",'Mapa final'!$O$22),"")</f>
        <v/>
      </c>
      <c r="W48" s="65" t="str">
        <f>IF(AND('Mapa final'!$Y$23="Muy Baja",'Mapa final'!$AA$23="Moderado"),CONCATENATE("R3C",'Mapa final'!$O$23),"")</f>
        <v/>
      </c>
      <c r="X48" s="65" t="str">
        <f>IF(AND('Mapa final'!$Y$24="Muy Baja",'Mapa final'!$AA$24="Moderado"),CONCATENATE("R3C",'Mapa final'!$O$24),"")</f>
        <v/>
      </c>
      <c r="Y48" s="65" t="str">
        <f>IF(AND('Mapa final'!$Y$25="Muy Baja",'Mapa final'!$AA$25="Moderado"),CONCATENATE("R3C",'Mapa final'!$O$25),"")</f>
        <v/>
      </c>
      <c r="Z48" s="65" t="str">
        <f>IF(AND('Mapa final'!$Y$26="Muy Baja",'Mapa final'!$AA$26="Moderado"),CONCATENATE("R3C",'Mapa final'!$O$26),"")</f>
        <v/>
      </c>
      <c r="AA48" s="66" t="str">
        <f>IF(AND('Mapa final'!$Y$27="Muy Baja",'Mapa final'!$AA$27="Moderado"),CONCATENATE("R3C",'Mapa final'!$O$27),"")</f>
        <v/>
      </c>
      <c r="AB48" s="49" t="str">
        <f>IF(AND('Mapa final'!$Y$22="Muy Baja",'Mapa final'!$AA$22="Mayor"),CONCATENATE("R3C",'Mapa final'!$O$22),"")</f>
        <v/>
      </c>
      <c r="AC48" s="50" t="str">
        <f>IF(AND('Mapa final'!$Y$23="Muy Baja",'Mapa final'!$AA$23="Mayor"),CONCATENATE("R3C",'Mapa final'!$O$23),"")</f>
        <v/>
      </c>
      <c r="AD48" s="50" t="str">
        <f>IF(AND('Mapa final'!$Y$24="Muy Baja",'Mapa final'!$AA$24="Mayor"),CONCATENATE("R3C",'Mapa final'!$O$24),"")</f>
        <v/>
      </c>
      <c r="AE48" s="50" t="str">
        <f>IF(AND('Mapa final'!$Y$25="Muy Baja",'Mapa final'!$AA$25="Mayor"),CONCATENATE("R3C",'Mapa final'!$O$25),"")</f>
        <v/>
      </c>
      <c r="AF48" s="50" t="str">
        <f>IF(AND('Mapa final'!$Y$26="Muy Baja",'Mapa final'!$AA$26="Mayor"),CONCATENATE("R3C",'Mapa final'!$O$26),"")</f>
        <v/>
      </c>
      <c r="AG48" s="51" t="str">
        <f>IF(AND('Mapa final'!$Y$27="Muy Baja",'Mapa final'!$AA$27="Mayor"),CONCATENATE("R3C",'Mapa final'!$O$27),"")</f>
        <v/>
      </c>
      <c r="AH48" s="52" t="str">
        <f>IF(AND('Mapa final'!$Y$22="Muy Baja",'Mapa final'!$AA$22="Catastrófico"),CONCATENATE("R3C",'Mapa final'!$O$22),"")</f>
        <v/>
      </c>
      <c r="AI48" s="53" t="str">
        <f>IF(AND('Mapa final'!$Y$23="Muy Baja",'Mapa final'!$AA$23="Catastrófico"),CONCATENATE("R3C",'Mapa final'!$O$23),"")</f>
        <v/>
      </c>
      <c r="AJ48" s="53" t="str">
        <f>IF(AND('Mapa final'!$Y$24="Muy Baja",'Mapa final'!$AA$24="Catastrófico"),CONCATENATE("R3C",'Mapa final'!$O$24),"")</f>
        <v/>
      </c>
      <c r="AK48" s="53" t="str">
        <f>IF(AND('Mapa final'!$Y$25="Muy Baja",'Mapa final'!$AA$25="Catastrófico"),CONCATENATE("R3C",'Mapa final'!$O$25),"")</f>
        <v/>
      </c>
      <c r="AL48" s="53" t="str">
        <f>IF(AND('Mapa final'!$Y$26="Muy Baja",'Mapa final'!$AA$26="Catastrófico"),CONCATENATE("R3C",'Mapa final'!$O$26),"")</f>
        <v/>
      </c>
      <c r="AM48" s="54" t="str">
        <f>IF(AND('Mapa final'!$Y$27="Muy Baja",'Mapa final'!$AA$27="Catastrófico"),CONCATENATE("R3C",'Mapa final'!$O$27),"")</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294"/>
      <c r="C49" s="294"/>
      <c r="D49" s="295"/>
      <c r="E49" s="265"/>
      <c r="F49" s="266"/>
      <c r="G49" s="266"/>
      <c r="H49" s="266"/>
      <c r="I49" s="267"/>
      <c r="J49" s="73" t="str">
        <f>IF(AND('Mapa final'!$Y$28="Muy Baja",'Mapa final'!$AA$28="Leve"),CONCATENATE("R4C",'Mapa final'!$O$28),"")</f>
        <v/>
      </c>
      <c r="K49" s="74" t="e">
        <f>IF(AND('Mapa final'!#REF!="Muy Baja",'Mapa final'!#REF!="Leve"),CONCATENATE("R4C",'Mapa final'!#REF!),"")</f>
        <v>#REF!</v>
      </c>
      <c r="L49" s="74" t="str">
        <f>IF(AND('Mapa final'!$Y$29="Muy Baja",'Mapa final'!$AA$29="Leve"),CONCATENATE("R4C",'Mapa final'!$O$29),"")</f>
        <v>R4C2</v>
      </c>
      <c r="M49" s="74" t="str">
        <f>IF(AND('Mapa final'!$Y$30="Muy Baja",'Mapa final'!$AA$30="Leve"),CONCATENATE("R4C",'Mapa final'!$O$30),"")</f>
        <v/>
      </c>
      <c r="N49" s="74" t="str">
        <f>IF(AND('Mapa final'!$Y$31="Muy Baja",'Mapa final'!$AA$31="Leve"),CONCATENATE("R4C",'Mapa final'!$O$31),"")</f>
        <v/>
      </c>
      <c r="O49" s="75" t="str">
        <f>IF(AND('Mapa final'!$Y$32="Muy Baja",'Mapa final'!$AA$32="Leve"),CONCATENATE("R4C",'Mapa final'!$O$32),"")</f>
        <v/>
      </c>
      <c r="P49" s="73" t="str">
        <f>IF(AND('Mapa final'!$Y$28="Muy Baja",'Mapa final'!$AA$28="Menor"),CONCATENATE("R4C",'Mapa final'!$O$28),"")</f>
        <v/>
      </c>
      <c r="Q49" s="74" t="e">
        <f>IF(AND('Mapa final'!#REF!="Muy Baja",'Mapa final'!#REF!="Menor"),CONCATENATE("R4C",'Mapa final'!#REF!),"")</f>
        <v>#REF!</v>
      </c>
      <c r="R49" s="74" t="str">
        <f>IF(AND('Mapa final'!$Y$29="Muy Baja",'Mapa final'!$AA$29="Menor"),CONCATENATE("R4C",'Mapa final'!$O$29),"")</f>
        <v/>
      </c>
      <c r="S49" s="74" t="str">
        <f>IF(AND('Mapa final'!$Y$30="Muy Baja",'Mapa final'!$AA$30="Menor"),CONCATENATE("R4C",'Mapa final'!$O$30),"")</f>
        <v/>
      </c>
      <c r="T49" s="74" t="str">
        <f>IF(AND('Mapa final'!$Y$31="Muy Baja",'Mapa final'!$AA$31="Menor"),CONCATENATE("R4C",'Mapa final'!$O$31),"")</f>
        <v/>
      </c>
      <c r="U49" s="75" t="str">
        <f>IF(AND('Mapa final'!$Y$32="Muy Baja",'Mapa final'!$AA$32="Menor"),CONCATENATE("R4C",'Mapa final'!$O$32),"")</f>
        <v/>
      </c>
      <c r="V49" s="64" t="str">
        <f>IF(AND('Mapa final'!$Y$28="Muy Baja",'Mapa final'!$AA$28="Moderado"),CONCATENATE("R4C",'Mapa final'!$O$28),"")</f>
        <v/>
      </c>
      <c r="W49" s="65" t="e">
        <f>IF(AND('Mapa final'!#REF!="Muy Baja",'Mapa final'!#REF!="Moderado"),CONCATENATE("R4C",'Mapa final'!#REF!),"")</f>
        <v>#REF!</v>
      </c>
      <c r="X49" s="65" t="str">
        <f>IF(AND('Mapa final'!$Y$29="Muy Baja",'Mapa final'!$AA$29="Moderado"),CONCATENATE("R4C",'Mapa final'!$O$29),"")</f>
        <v/>
      </c>
      <c r="Y49" s="65" t="str">
        <f>IF(AND('Mapa final'!$Y$30="Muy Baja",'Mapa final'!$AA$30="Moderado"),CONCATENATE("R4C",'Mapa final'!$O$30),"")</f>
        <v/>
      </c>
      <c r="Z49" s="65" t="str">
        <f>IF(AND('Mapa final'!$Y$31="Muy Baja",'Mapa final'!$AA$31="Moderado"),CONCATENATE("R4C",'Mapa final'!$O$31),"")</f>
        <v/>
      </c>
      <c r="AA49" s="66" t="str">
        <f>IF(AND('Mapa final'!$Y$32="Muy Baja",'Mapa final'!$AA$32="Moderado"),CONCATENATE("R4C",'Mapa final'!$O$32),"")</f>
        <v/>
      </c>
      <c r="AB49" s="49" t="str">
        <f>IF(AND('Mapa final'!$Y$28="Muy Baja",'Mapa final'!$AA$28="Mayor"),CONCATENATE("R4C",'Mapa final'!$O$28),"")</f>
        <v/>
      </c>
      <c r="AC49" s="50" t="e">
        <f>IF(AND('Mapa final'!#REF!="Muy Baja",'Mapa final'!#REF!="Mayor"),CONCATENATE("R4C",'Mapa final'!#REF!),"")</f>
        <v>#REF!</v>
      </c>
      <c r="AD49" s="50" t="str">
        <f>IF(AND('Mapa final'!$Y$29="Muy Baja",'Mapa final'!$AA$29="Mayor"),CONCATENATE("R4C",'Mapa final'!$O$29),"")</f>
        <v/>
      </c>
      <c r="AE49" s="50" t="str">
        <f>IF(AND('Mapa final'!$Y$30="Muy Baja",'Mapa final'!$AA$30="Mayor"),CONCATENATE("R4C",'Mapa final'!$O$30),"")</f>
        <v/>
      </c>
      <c r="AF49" s="50" t="str">
        <f>IF(AND('Mapa final'!$Y$31="Muy Baja",'Mapa final'!$AA$31="Mayor"),CONCATENATE("R4C",'Mapa final'!$O$31),"")</f>
        <v/>
      </c>
      <c r="AG49" s="51" t="str">
        <f>IF(AND('Mapa final'!$Y$32="Muy Baja",'Mapa final'!$AA$32="Mayor"),CONCATENATE("R4C",'Mapa final'!$O$32),"")</f>
        <v/>
      </c>
      <c r="AH49" s="52" t="str">
        <f>IF(AND('Mapa final'!$Y$28="Muy Baja",'Mapa final'!$AA$28="Catastrófico"),CONCATENATE("R4C",'Mapa final'!$O$28),"")</f>
        <v/>
      </c>
      <c r="AI49" s="53" t="e">
        <f>IF(AND('Mapa final'!#REF!="Muy Baja",'Mapa final'!#REF!="Catastrófico"),CONCATENATE("R4C",'Mapa final'!#REF!),"")</f>
        <v>#REF!</v>
      </c>
      <c r="AJ49" s="53" t="str">
        <f>IF(AND('Mapa final'!$Y$29="Muy Baja",'Mapa final'!$AA$29="Catastrófico"),CONCATENATE("R4C",'Mapa final'!$O$29),"")</f>
        <v/>
      </c>
      <c r="AK49" s="53" t="str">
        <f>IF(AND('Mapa final'!$Y$30="Muy Baja",'Mapa final'!$AA$30="Catastrófico"),CONCATENATE("R4C",'Mapa final'!$O$30),"")</f>
        <v/>
      </c>
      <c r="AL49" s="53" t="str">
        <f>IF(AND('Mapa final'!$Y$31="Muy Baja",'Mapa final'!$AA$31="Catastrófico"),CONCATENATE("R4C",'Mapa final'!$O$31),"")</f>
        <v/>
      </c>
      <c r="AM49" s="54" t="str">
        <f>IF(AND('Mapa final'!$Y$32="Muy Baja",'Mapa final'!$AA$32="Catastrófico"),CONCATENATE("R4C",'Mapa final'!$O$32),"")</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294"/>
      <c r="C50" s="294"/>
      <c r="D50" s="295"/>
      <c r="E50" s="265"/>
      <c r="F50" s="266"/>
      <c r="G50" s="266"/>
      <c r="H50" s="266"/>
      <c r="I50" s="267"/>
      <c r="J50" s="73" t="str">
        <f>IF(AND('Mapa final'!$Y$33="Muy Baja",'Mapa final'!$AA$33="Leve"),CONCATENATE("R5C",'Mapa final'!$O$33),"")</f>
        <v/>
      </c>
      <c r="K50" s="74" t="str">
        <f>IF(AND('Mapa final'!$Y$34="Muy Baja",'Mapa final'!$AA$34="Leve"),CONCATENATE("R5C",'Mapa final'!$O$34),"")</f>
        <v/>
      </c>
      <c r="L50" s="74" t="str">
        <f>IF(AND('Mapa final'!$Y$35="Muy Baja",'Mapa final'!$AA$35="Leve"),CONCATENATE("R5C",'Mapa final'!$O$35),"")</f>
        <v/>
      </c>
      <c r="M50" s="74" t="str">
        <f>IF(AND('Mapa final'!$Y$36="Muy Baja",'Mapa final'!$AA$36="Leve"),CONCATENATE("R5C",'Mapa final'!$O$36),"")</f>
        <v/>
      </c>
      <c r="N50" s="74" t="str">
        <f>IF(AND('Mapa final'!$Y$37="Muy Baja",'Mapa final'!$AA$37="Leve"),CONCATENATE("R5C",'Mapa final'!$O$37),"")</f>
        <v/>
      </c>
      <c r="O50" s="75" t="str">
        <f>IF(AND('Mapa final'!$Y$38="Muy Baja",'Mapa final'!$AA$38="Leve"),CONCATENATE("R5C",'Mapa final'!$O$38),"")</f>
        <v/>
      </c>
      <c r="P50" s="73" t="str">
        <f>IF(AND('Mapa final'!$Y$33="Muy Baja",'Mapa final'!$AA$33="Menor"),CONCATENATE("R5C",'Mapa final'!$O$33),"")</f>
        <v/>
      </c>
      <c r="Q50" s="74" t="str">
        <f>IF(AND('Mapa final'!$Y$34="Muy Baja",'Mapa final'!$AA$34="Menor"),CONCATENATE("R5C",'Mapa final'!$O$34),"")</f>
        <v/>
      </c>
      <c r="R50" s="74" t="str">
        <f>IF(AND('Mapa final'!$Y$35="Muy Baja",'Mapa final'!$AA$35="Menor"),CONCATENATE("R5C",'Mapa final'!$O$35),"")</f>
        <v/>
      </c>
      <c r="S50" s="74" t="str">
        <f>IF(AND('Mapa final'!$Y$36="Muy Baja",'Mapa final'!$AA$36="Menor"),CONCATENATE("R5C",'Mapa final'!$O$36),"")</f>
        <v/>
      </c>
      <c r="T50" s="74" t="str">
        <f>IF(AND('Mapa final'!$Y$37="Muy Baja",'Mapa final'!$AA$37="Menor"),CONCATENATE("R5C",'Mapa final'!$O$37),"")</f>
        <v/>
      </c>
      <c r="U50" s="75" t="str">
        <f>IF(AND('Mapa final'!$Y$38="Muy Baja",'Mapa final'!$AA$38="Menor"),CONCATENATE("R5C",'Mapa final'!$O$38),"")</f>
        <v/>
      </c>
      <c r="V50" s="64" t="str">
        <f>IF(AND('Mapa final'!$Y$33="Muy Baja",'Mapa final'!$AA$33="Moderado"),CONCATENATE("R5C",'Mapa final'!$O$33),"")</f>
        <v/>
      </c>
      <c r="W50" s="65" t="str">
        <f>IF(AND('Mapa final'!$Y$34="Muy Baja",'Mapa final'!$AA$34="Moderado"),CONCATENATE("R5C",'Mapa final'!$O$34),"")</f>
        <v/>
      </c>
      <c r="X50" s="65" t="str">
        <f>IF(AND('Mapa final'!$Y$35="Muy Baja",'Mapa final'!$AA$35="Moderado"),CONCATENATE("R5C",'Mapa final'!$O$35),"")</f>
        <v/>
      </c>
      <c r="Y50" s="65" t="str">
        <f>IF(AND('Mapa final'!$Y$36="Muy Baja",'Mapa final'!$AA$36="Moderado"),CONCATENATE("R5C",'Mapa final'!$O$36),"")</f>
        <v/>
      </c>
      <c r="Z50" s="65" t="str">
        <f>IF(AND('Mapa final'!$Y$37="Muy Baja",'Mapa final'!$AA$37="Moderado"),CONCATENATE("R5C",'Mapa final'!$O$37),"")</f>
        <v/>
      </c>
      <c r="AA50" s="66" t="str">
        <f>IF(AND('Mapa final'!$Y$38="Muy Baja",'Mapa final'!$AA$38="Moderado"),CONCATENATE("R5C",'Mapa final'!$O$38),"")</f>
        <v/>
      </c>
      <c r="AB50" s="49" t="str">
        <f>IF(AND('Mapa final'!$Y$33="Muy Baja",'Mapa final'!$AA$33="Mayor"),CONCATENATE("R5C",'Mapa final'!$O$33),"")</f>
        <v/>
      </c>
      <c r="AC50" s="50" t="str">
        <f>IF(AND('Mapa final'!$Y$34="Muy Baja",'Mapa final'!$AA$34="Mayor"),CONCATENATE("R5C",'Mapa final'!$O$34),"")</f>
        <v/>
      </c>
      <c r="AD50" s="50" t="str">
        <f>IF(AND('Mapa final'!$Y$35="Muy Baja",'Mapa final'!$AA$35="Mayor"),CONCATENATE("R5C",'Mapa final'!$O$35),"")</f>
        <v/>
      </c>
      <c r="AE50" s="50" t="str">
        <f>IF(AND('Mapa final'!$Y$36="Muy Baja",'Mapa final'!$AA$36="Mayor"),CONCATENATE("R5C",'Mapa final'!$O$36),"")</f>
        <v/>
      </c>
      <c r="AF50" s="50" t="str">
        <f>IF(AND('Mapa final'!$Y$37="Muy Baja",'Mapa final'!$AA$37="Mayor"),CONCATENATE("R5C",'Mapa final'!$O$37),"")</f>
        <v/>
      </c>
      <c r="AG50" s="51" t="str">
        <f>IF(AND('Mapa final'!$Y$38="Muy Baja",'Mapa final'!$AA$38="Mayor"),CONCATENATE("R5C",'Mapa final'!$O$38),"")</f>
        <v/>
      </c>
      <c r="AH50" s="52" t="str">
        <f>IF(AND('Mapa final'!$Y$33="Muy Baja",'Mapa final'!$AA$33="Catastrófico"),CONCATENATE("R5C",'Mapa final'!$O$33),"")</f>
        <v/>
      </c>
      <c r="AI50" s="53" t="str">
        <f>IF(AND('Mapa final'!$Y$34="Muy Baja",'Mapa final'!$AA$34="Catastrófico"),CONCATENATE("R5C",'Mapa final'!$O$34),"")</f>
        <v/>
      </c>
      <c r="AJ50" s="53" t="str">
        <f>IF(AND('Mapa final'!$Y$35="Muy Baja",'Mapa final'!$AA$35="Catastrófico"),CONCATENATE("R5C",'Mapa final'!$O$35),"")</f>
        <v/>
      </c>
      <c r="AK50" s="53" t="str">
        <f>IF(AND('Mapa final'!$Y$36="Muy Baja",'Mapa final'!$AA$36="Catastrófico"),CONCATENATE("R5C",'Mapa final'!$O$36),"")</f>
        <v/>
      </c>
      <c r="AL50" s="53" t="str">
        <f>IF(AND('Mapa final'!$Y$37="Muy Baja",'Mapa final'!$AA$37="Catastrófico"),CONCATENATE("R5C",'Mapa final'!$O$37),"")</f>
        <v/>
      </c>
      <c r="AM50" s="54" t="str">
        <f>IF(AND('Mapa final'!$Y$38="Muy Baja",'Mapa final'!$AA$38="Catastrófico"),CONCATENATE("R5C",'Mapa final'!$O$38),"")</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294"/>
      <c r="C51" s="294"/>
      <c r="D51" s="295"/>
      <c r="E51" s="265"/>
      <c r="F51" s="266"/>
      <c r="G51" s="266"/>
      <c r="H51" s="266"/>
      <c r="I51" s="267"/>
      <c r="J51" s="73" t="e">
        <f>IF(AND('Mapa final'!#REF!="Muy Baja",'Mapa final'!#REF!="Leve"),CONCATENATE("R6C",'Mapa final'!#REF!),"")</f>
        <v>#REF!</v>
      </c>
      <c r="K51" s="74" t="e">
        <f>IF(AND('Mapa final'!#REF!="Muy Baja",'Mapa final'!#REF!="Leve"),CONCATENATE("R6C",'Mapa final'!#REF!),"")</f>
        <v>#REF!</v>
      </c>
      <c r="L51" s="74" t="e">
        <f>IF(AND('Mapa final'!#REF!="Muy Baja",'Mapa final'!#REF!="Leve"),CONCATENATE("R6C",'Mapa final'!#REF!),"")</f>
        <v>#REF!</v>
      </c>
      <c r="M51" s="74" t="e">
        <f>IF(AND('Mapa final'!#REF!="Muy Baja",'Mapa final'!#REF!="Leve"),CONCATENATE("R6C",'Mapa final'!#REF!),"")</f>
        <v>#REF!</v>
      </c>
      <c r="N51" s="74" t="e">
        <f>IF(AND('Mapa final'!#REF!="Muy Baja",'Mapa final'!#REF!="Leve"),CONCATENATE("R6C",'Mapa final'!#REF!),"")</f>
        <v>#REF!</v>
      </c>
      <c r="O51" s="75" t="e">
        <f>IF(AND('Mapa final'!#REF!="Muy Baja",'Mapa final'!#REF!="Leve"),CONCATENATE("R6C",'Mapa final'!#REF!),"")</f>
        <v>#REF!</v>
      </c>
      <c r="P51" s="73" t="e">
        <f>IF(AND('Mapa final'!#REF!="Muy Baja",'Mapa final'!#REF!="Menor"),CONCATENATE("R6C",'Mapa final'!#REF!),"")</f>
        <v>#REF!</v>
      </c>
      <c r="Q51" s="74" t="e">
        <f>IF(AND('Mapa final'!#REF!="Muy Baja",'Mapa final'!#REF!="Menor"),CONCATENATE("R6C",'Mapa final'!#REF!),"")</f>
        <v>#REF!</v>
      </c>
      <c r="R51" s="74" t="e">
        <f>IF(AND('Mapa final'!#REF!="Muy Baja",'Mapa final'!#REF!="Menor"),CONCATENATE("R6C",'Mapa final'!#REF!),"")</f>
        <v>#REF!</v>
      </c>
      <c r="S51" s="74" t="e">
        <f>IF(AND('Mapa final'!#REF!="Muy Baja",'Mapa final'!#REF!="Menor"),CONCATENATE("R6C",'Mapa final'!#REF!),"")</f>
        <v>#REF!</v>
      </c>
      <c r="T51" s="74" t="e">
        <f>IF(AND('Mapa final'!#REF!="Muy Baja",'Mapa final'!#REF!="Menor"),CONCATENATE("R6C",'Mapa final'!#REF!),"")</f>
        <v>#REF!</v>
      </c>
      <c r="U51" s="75" t="e">
        <f>IF(AND('Mapa final'!#REF!="Muy Baja",'Mapa final'!#REF!="Menor"),CONCATENATE("R6C",'Mapa final'!#REF!),"")</f>
        <v>#REF!</v>
      </c>
      <c r="V51" s="64" t="e">
        <f>IF(AND('Mapa final'!#REF!="Muy Baja",'Mapa final'!#REF!="Moderado"),CONCATENATE("R6C",'Mapa final'!#REF!),"")</f>
        <v>#REF!</v>
      </c>
      <c r="W51" s="65" t="e">
        <f>IF(AND('Mapa final'!#REF!="Muy Baja",'Mapa final'!#REF!="Moderado"),CONCATENATE("R6C",'Mapa final'!#REF!),"")</f>
        <v>#REF!</v>
      </c>
      <c r="X51" s="65" t="e">
        <f>IF(AND('Mapa final'!#REF!="Muy Baja",'Mapa final'!#REF!="Moderado"),CONCATENATE("R6C",'Mapa final'!#REF!),"")</f>
        <v>#REF!</v>
      </c>
      <c r="Y51" s="65" t="e">
        <f>IF(AND('Mapa final'!#REF!="Muy Baja",'Mapa final'!#REF!="Moderado"),CONCATENATE("R6C",'Mapa final'!#REF!),"")</f>
        <v>#REF!</v>
      </c>
      <c r="Z51" s="65" t="e">
        <f>IF(AND('Mapa final'!#REF!="Muy Baja",'Mapa final'!#REF!="Moderado"),CONCATENATE("R6C",'Mapa final'!#REF!),"")</f>
        <v>#REF!</v>
      </c>
      <c r="AA51" s="66" t="e">
        <f>IF(AND('Mapa final'!#REF!="Muy Baja",'Mapa final'!#REF!="Moderado"),CONCATENATE("R6C",'Mapa final'!#REF!),"")</f>
        <v>#REF!</v>
      </c>
      <c r="AB51" s="49" t="e">
        <f>IF(AND('Mapa final'!#REF!="Muy Baja",'Mapa final'!#REF!="Mayor"),CONCATENATE("R6C",'Mapa final'!#REF!),"")</f>
        <v>#REF!</v>
      </c>
      <c r="AC51" s="50" t="e">
        <f>IF(AND('Mapa final'!#REF!="Muy Baja",'Mapa final'!#REF!="Mayor"),CONCATENATE("R6C",'Mapa final'!#REF!),"")</f>
        <v>#REF!</v>
      </c>
      <c r="AD51" s="50" t="e">
        <f>IF(AND('Mapa final'!#REF!="Muy Baja",'Mapa final'!#REF!="Mayor"),CONCATENATE("R6C",'Mapa final'!#REF!),"")</f>
        <v>#REF!</v>
      </c>
      <c r="AE51" s="50" t="e">
        <f>IF(AND('Mapa final'!#REF!="Muy Baja",'Mapa final'!#REF!="Mayor"),CONCATENATE("R6C",'Mapa final'!#REF!),"")</f>
        <v>#REF!</v>
      </c>
      <c r="AF51" s="50" t="e">
        <f>IF(AND('Mapa final'!#REF!="Muy Baja",'Mapa final'!#REF!="Mayor"),CONCATENATE("R6C",'Mapa final'!#REF!),"")</f>
        <v>#REF!</v>
      </c>
      <c r="AG51" s="51" t="e">
        <f>IF(AND('Mapa final'!#REF!="Muy Baja",'Mapa final'!#REF!="Mayor"),CONCATENATE("R6C",'Mapa final'!#REF!),"")</f>
        <v>#REF!</v>
      </c>
      <c r="AH51" s="52" t="e">
        <f>IF(AND('Mapa final'!#REF!="Muy Baja",'Mapa final'!#REF!="Catastrófico"),CONCATENATE("R6C",'Mapa final'!#REF!),"")</f>
        <v>#REF!</v>
      </c>
      <c r="AI51" s="53" t="e">
        <f>IF(AND('Mapa final'!#REF!="Muy Baja",'Mapa final'!#REF!="Catastrófico"),CONCATENATE("R6C",'Mapa final'!#REF!),"")</f>
        <v>#REF!</v>
      </c>
      <c r="AJ51" s="53" t="e">
        <f>IF(AND('Mapa final'!#REF!="Muy Baja",'Mapa final'!#REF!="Catastrófico"),CONCATENATE("R6C",'Mapa final'!#REF!),"")</f>
        <v>#REF!</v>
      </c>
      <c r="AK51" s="53" t="e">
        <f>IF(AND('Mapa final'!#REF!="Muy Baja",'Mapa final'!#REF!="Catastrófico"),CONCATENATE("R6C",'Mapa final'!#REF!),"")</f>
        <v>#REF!</v>
      </c>
      <c r="AL51" s="53" t="e">
        <f>IF(AND('Mapa final'!#REF!="Muy Baja",'Mapa final'!#REF!="Catastrófico"),CONCATENATE("R6C",'Mapa final'!#REF!),"")</f>
        <v>#REF!</v>
      </c>
      <c r="AM51" s="54" t="e">
        <f>IF(AND('Mapa final'!#REF!="Muy Baja",'Mapa final'!#REF!="Catastrófico"),CONCATENATE("R6C",'Mapa final'!#REF!),"")</f>
        <v>#REF!</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294"/>
      <c r="C52" s="294"/>
      <c r="D52" s="295"/>
      <c r="E52" s="265"/>
      <c r="F52" s="266"/>
      <c r="G52" s="266"/>
      <c r="H52" s="266"/>
      <c r="I52" s="267"/>
      <c r="J52" s="73" t="str">
        <f>IF(AND('Mapa final'!$Y$39="Muy Baja",'Mapa final'!$AA$39="Leve"),CONCATENATE("R7C",'Mapa final'!$O$39),"")</f>
        <v/>
      </c>
      <c r="K52" s="74" t="str">
        <f>IF(AND('Mapa final'!$Y$40="Muy Baja",'Mapa final'!$AA$40="Leve"),CONCATENATE("R7C",'Mapa final'!$O$40),"")</f>
        <v/>
      </c>
      <c r="L52" s="74" t="str">
        <f>IF(AND('Mapa final'!$Y$41="Muy Baja",'Mapa final'!$AA$41="Leve"),CONCATENATE("R7C",'Mapa final'!$O$41),"")</f>
        <v/>
      </c>
      <c r="M52" s="74" t="str">
        <f>IF(AND('Mapa final'!$Y$42="Muy Baja",'Mapa final'!$AA$42="Leve"),CONCATENATE("R7C",'Mapa final'!$O$42),"")</f>
        <v/>
      </c>
      <c r="N52" s="74" t="str">
        <f>IF(AND('Mapa final'!$Y$43="Muy Baja",'Mapa final'!$AA$43="Leve"),CONCATENATE("R7C",'Mapa final'!$O$43),"")</f>
        <v/>
      </c>
      <c r="O52" s="75" t="str">
        <f>IF(AND('Mapa final'!$Y$44="Muy Baja",'Mapa final'!$AA$44="Leve"),CONCATENATE("R7C",'Mapa final'!$O$44),"")</f>
        <v/>
      </c>
      <c r="P52" s="73" t="str">
        <f>IF(AND('Mapa final'!$Y$39="Muy Baja",'Mapa final'!$AA$39="Menor"),CONCATENATE("R7C",'Mapa final'!$O$39),"")</f>
        <v/>
      </c>
      <c r="Q52" s="74" t="str">
        <f>IF(AND('Mapa final'!$Y$40="Muy Baja",'Mapa final'!$AA$40="Menor"),CONCATENATE("R7C",'Mapa final'!$O$40),"")</f>
        <v/>
      </c>
      <c r="R52" s="74" t="str">
        <f>IF(AND('Mapa final'!$Y$41="Muy Baja",'Mapa final'!$AA$41="Menor"),CONCATENATE("R7C",'Mapa final'!$O$41),"")</f>
        <v/>
      </c>
      <c r="S52" s="74" t="str">
        <f>IF(AND('Mapa final'!$Y$42="Muy Baja",'Mapa final'!$AA$42="Menor"),CONCATENATE("R7C",'Mapa final'!$O$42),"")</f>
        <v/>
      </c>
      <c r="T52" s="74" t="str">
        <f>IF(AND('Mapa final'!$Y$43="Muy Baja",'Mapa final'!$AA$43="Menor"),CONCATENATE("R7C",'Mapa final'!$O$43),"")</f>
        <v/>
      </c>
      <c r="U52" s="75" t="str">
        <f>IF(AND('Mapa final'!$Y$44="Muy Baja",'Mapa final'!$AA$44="Menor"),CONCATENATE("R7C",'Mapa final'!$O$44),"")</f>
        <v/>
      </c>
      <c r="V52" s="64" t="str">
        <f>IF(AND('Mapa final'!$Y$39="Muy Baja",'Mapa final'!$AA$39="Moderado"),CONCATENATE("R7C",'Mapa final'!$O$39),"")</f>
        <v/>
      </c>
      <c r="W52" s="65" t="str">
        <f>IF(AND('Mapa final'!$Y$40="Muy Baja",'Mapa final'!$AA$40="Moderado"),CONCATENATE("R7C",'Mapa final'!$O$40),"")</f>
        <v/>
      </c>
      <c r="X52" s="65" t="str">
        <f>IF(AND('Mapa final'!$Y$41="Muy Baja",'Mapa final'!$AA$41="Moderado"),CONCATENATE("R7C",'Mapa final'!$O$41),"")</f>
        <v/>
      </c>
      <c r="Y52" s="65" t="str">
        <f>IF(AND('Mapa final'!$Y$42="Muy Baja",'Mapa final'!$AA$42="Moderado"),CONCATENATE("R7C",'Mapa final'!$O$42),"")</f>
        <v/>
      </c>
      <c r="Z52" s="65" t="str">
        <f>IF(AND('Mapa final'!$Y$43="Muy Baja",'Mapa final'!$AA$43="Moderado"),CONCATENATE("R7C",'Mapa final'!$O$43),"")</f>
        <v/>
      </c>
      <c r="AA52" s="66" t="str">
        <f>IF(AND('Mapa final'!$Y$44="Muy Baja",'Mapa final'!$AA$44="Moderado"),CONCATENATE("R7C",'Mapa final'!$O$44),"")</f>
        <v/>
      </c>
      <c r="AB52" s="49" t="str">
        <f>IF(AND('Mapa final'!$Y$39="Muy Baja",'Mapa final'!$AA$39="Mayor"),CONCATENATE("R7C",'Mapa final'!$O$39),"")</f>
        <v/>
      </c>
      <c r="AC52" s="50" t="str">
        <f>IF(AND('Mapa final'!$Y$40="Muy Baja",'Mapa final'!$AA$40="Mayor"),CONCATENATE("R7C",'Mapa final'!$O$40),"")</f>
        <v/>
      </c>
      <c r="AD52" s="50" t="str">
        <f>IF(AND('Mapa final'!$Y$41="Muy Baja",'Mapa final'!$AA$41="Mayor"),CONCATENATE("R7C",'Mapa final'!$O$41),"")</f>
        <v/>
      </c>
      <c r="AE52" s="50" t="str">
        <f>IF(AND('Mapa final'!$Y$42="Muy Baja",'Mapa final'!$AA$42="Mayor"),CONCATENATE("R7C",'Mapa final'!$O$42),"")</f>
        <v/>
      </c>
      <c r="AF52" s="50" t="str">
        <f>IF(AND('Mapa final'!$Y$43="Muy Baja",'Mapa final'!$AA$43="Mayor"),CONCATENATE("R7C",'Mapa final'!$O$43),"")</f>
        <v/>
      </c>
      <c r="AG52" s="51" t="str">
        <f>IF(AND('Mapa final'!$Y$44="Muy Baja",'Mapa final'!$AA$44="Mayor"),CONCATENATE("R7C",'Mapa final'!$O$44),"")</f>
        <v/>
      </c>
      <c r="AH52" s="52" t="str">
        <f>IF(AND('Mapa final'!$Y$39="Muy Baja",'Mapa final'!$AA$39="Catastrófico"),CONCATENATE("R7C",'Mapa final'!$O$39),"")</f>
        <v/>
      </c>
      <c r="AI52" s="53" t="str">
        <f>IF(AND('Mapa final'!$Y$40="Muy Baja",'Mapa final'!$AA$40="Catastrófico"),CONCATENATE("R7C",'Mapa final'!$O$40),"")</f>
        <v/>
      </c>
      <c r="AJ52" s="53" t="str">
        <f>IF(AND('Mapa final'!$Y$41="Muy Baja",'Mapa final'!$AA$41="Catastrófico"),CONCATENATE("R7C",'Mapa final'!$O$41),"")</f>
        <v/>
      </c>
      <c r="AK52" s="53" t="str">
        <f>IF(AND('Mapa final'!$Y$42="Muy Baja",'Mapa final'!$AA$42="Catastrófico"),CONCATENATE("R7C",'Mapa final'!$O$42),"")</f>
        <v/>
      </c>
      <c r="AL52" s="53" t="str">
        <f>IF(AND('Mapa final'!$Y$43="Muy Baja",'Mapa final'!$AA$43="Catastrófico"),CONCATENATE("R7C",'Mapa final'!$O$43),"")</f>
        <v/>
      </c>
      <c r="AM52" s="54" t="str">
        <f>IF(AND('Mapa final'!$Y$44="Muy Baja",'Mapa final'!$AA$44="Catastrófico"),CONCATENATE("R7C",'Mapa final'!$O$44),"")</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294"/>
      <c r="C53" s="294"/>
      <c r="D53" s="295"/>
      <c r="E53" s="265"/>
      <c r="F53" s="266"/>
      <c r="G53" s="266"/>
      <c r="H53" s="266"/>
      <c r="I53" s="267"/>
      <c r="J53" s="73" t="str">
        <f>IF(AND('Mapa final'!$Y$45="Muy Baja",'Mapa final'!$AA$45="Leve"),CONCATENATE("R8C",'Mapa final'!$O$45),"")</f>
        <v/>
      </c>
      <c r="K53" s="74" t="str">
        <f>IF(AND('Mapa final'!$Y$46="Muy Baja",'Mapa final'!$AA$46="Leve"),CONCATENATE("R8C",'Mapa final'!$O$46),"")</f>
        <v/>
      </c>
      <c r="L53" s="74" t="str">
        <f>IF(AND('Mapa final'!$Y$47="Muy Baja",'Mapa final'!$AA$47="Leve"),CONCATENATE("R8C",'Mapa final'!$O$47),"")</f>
        <v/>
      </c>
      <c r="M53" s="74" t="str">
        <f>IF(AND('Mapa final'!$Y$48="Muy Baja",'Mapa final'!$AA$48="Leve"),CONCATENATE("R8C",'Mapa final'!$O$48),"")</f>
        <v/>
      </c>
      <c r="N53" s="74" t="str">
        <f>IF(AND('Mapa final'!$Y$49="Muy Baja",'Mapa final'!$AA$49="Leve"),CONCATENATE("R8C",'Mapa final'!$O$49),"")</f>
        <v/>
      </c>
      <c r="O53" s="75" t="str">
        <f>IF(AND('Mapa final'!$Y$50="Muy Baja",'Mapa final'!$AA$50="Leve"),CONCATENATE("R8C",'Mapa final'!$O$50),"")</f>
        <v/>
      </c>
      <c r="P53" s="73" t="str">
        <f>IF(AND('Mapa final'!$Y$45="Muy Baja",'Mapa final'!$AA$45="Menor"),CONCATENATE("R8C",'Mapa final'!$O$45),"")</f>
        <v/>
      </c>
      <c r="Q53" s="74" t="str">
        <f>IF(AND('Mapa final'!$Y$46="Muy Baja",'Mapa final'!$AA$46="Menor"),CONCATENATE("R8C",'Mapa final'!$O$46),"")</f>
        <v/>
      </c>
      <c r="R53" s="74" t="str">
        <f>IF(AND('Mapa final'!$Y$47="Muy Baja",'Mapa final'!$AA$47="Menor"),CONCATENATE("R8C",'Mapa final'!$O$47),"")</f>
        <v/>
      </c>
      <c r="S53" s="74" t="str">
        <f>IF(AND('Mapa final'!$Y$48="Muy Baja",'Mapa final'!$AA$48="Menor"),CONCATENATE("R8C",'Mapa final'!$O$48),"")</f>
        <v/>
      </c>
      <c r="T53" s="74" t="str">
        <f>IF(AND('Mapa final'!$Y$49="Muy Baja",'Mapa final'!$AA$49="Menor"),CONCATENATE("R8C",'Mapa final'!$O$49),"")</f>
        <v/>
      </c>
      <c r="U53" s="75" t="str">
        <f>IF(AND('Mapa final'!$Y$50="Muy Baja",'Mapa final'!$AA$50="Menor"),CONCATENATE("R8C",'Mapa final'!$O$50),"")</f>
        <v/>
      </c>
      <c r="V53" s="64" t="str">
        <f>IF(AND('Mapa final'!$Y$45="Muy Baja",'Mapa final'!$AA$45="Moderado"),CONCATENATE("R8C",'Mapa final'!$O$45),"")</f>
        <v/>
      </c>
      <c r="W53" s="65" t="str">
        <f>IF(AND('Mapa final'!$Y$46="Muy Baja",'Mapa final'!$AA$46="Moderado"),CONCATENATE("R8C",'Mapa final'!$O$46),"")</f>
        <v/>
      </c>
      <c r="X53" s="65" t="str">
        <f>IF(AND('Mapa final'!$Y$47="Muy Baja",'Mapa final'!$AA$47="Moderado"),CONCATENATE("R8C",'Mapa final'!$O$47),"")</f>
        <v/>
      </c>
      <c r="Y53" s="65" t="str">
        <f>IF(AND('Mapa final'!$Y$48="Muy Baja",'Mapa final'!$AA$48="Moderado"),CONCATENATE("R8C",'Mapa final'!$O$48),"")</f>
        <v/>
      </c>
      <c r="Z53" s="65" t="str">
        <f>IF(AND('Mapa final'!$Y$49="Muy Baja",'Mapa final'!$AA$49="Moderado"),CONCATENATE("R8C",'Mapa final'!$O$49),"")</f>
        <v/>
      </c>
      <c r="AA53" s="66" t="str">
        <f>IF(AND('Mapa final'!$Y$50="Muy Baja",'Mapa final'!$AA$50="Moderado"),CONCATENATE("R8C",'Mapa final'!$O$50),"")</f>
        <v/>
      </c>
      <c r="AB53" s="49" t="str">
        <f>IF(AND('Mapa final'!$Y$45="Muy Baja",'Mapa final'!$AA$45="Mayor"),CONCATENATE("R8C",'Mapa final'!$O$45),"")</f>
        <v/>
      </c>
      <c r="AC53" s="50" t="str">
        <f>IF(AND('Mapa final'!$Y$46="Muy Baja",'Mapa final'!$AA$46="Mayor"),CONCATENATE("R8C",'Mapa final'!$O$46),"")</f>
        <v/>
      </c>
      <c r="AD53" s="50" t="str">
        <f>IF(AND('Mapa final'!$Y$47="Muy Baja",'Mapa final'!$AA$47="Mayor"),CONCATENATE("R8C",'Mapa final'!$O$47),"")</f>
        <v/>
      </c>
      <c r="AE53" s="50" t="str">
        <f>IF(AND('Mapa final'!$Y$48="Muy Baja",'Mapa final'!$AA$48="Mayor"),CONCATENATE("R8C",'Mapa final'!$O$48),"")</f>
        <v/>
      </c>
      <c r="AF53" s="50" t="str">
        <f>IF(AND('Mapa final'!$Y$49="Muy Baja",'Mapa final'!$AA$49="Mayor"),CONCATENATE("R8C",'Mapa final'!$O$49),"")</f>
        <v/>
      </c>
      <c r="AG53" s="51" t="str">
        <f>IF(AND('Mapa final'!$Y$50="Muy Baja",'Mapa final'!$AA$50="Mayor"),CONCATENATE("R8C",'Mapa final'!$O$50),"")</f>
        <v/>
      </c>
      <c r="AH53" s="52" t="str">
        <f>IF(AND('Mapa final'!$Y$45="Muy Baja",'Mapa final'!$AA$45="Catastrófico"),CONCATENATE("R8C",'Mapa final'!$O$45),"")</f>
        <v/>
      </c>
      <c r="AI53" s="53" t="str">
        <f>IF(AND('Mapa final'!$Y$46="Muy Baja",'Mapa final'!$AA$46="Catastrófico"),CONCATENATE("R8C",'Mapa final'!$O$46),"")</f>
        <v/>
      </c>
      <c r="AJ53" s="53" t="str">
        <f>IF(AND('Mapa final'!$Y$47="Muy Baja",'Mapa final'!$AA$47="Catastrófico"),CONCATENATE("R8C",'Mapa final'!$O$47),"")</f>
        <v/>
      </c>
      <c r="AK53" s="53" t="str">
        <f>IF(AND('Mapa final'!$Y$48="Muy Baja",'Mapa final'!$AA$48="Catastrófico"),CONCATENATE("R8C",'Mapa final'!$O$48),"")</f>
        <v/>
      </c>
      <c r="AL53" s="53" t="str">
        <f>IF(AND('Mapa final'!$Y$49="Muy Baja",'Mapa final'!$AA$49="Catastrófico"),CONCATENATE("R8C",'Mapa final'!$O$49),"")</f>
        <v/>
      </c>
      <c r="AM53" s="54" t="str">
        <f>IF(AND('Mapa final'!$Y$50="Muy Baja",'Mapa final'!$AA$50="Catastrófico"),CONCATENATE("R8C",'Mapa final'!$O$50),"")</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294"/>
      <c r="C54" s="294"/>
      <c r="D54" s="295"/>
      <c r="E54" s="265"/>
      <c r="F54" s="266"/>
      <c r="G54" s="266"/>
      <c r="H54" s="266"/>
      <c r="I54" s="267"/>
      <c r="J54" s="73" t="str">
        <f>IF(AND('Mapa final'!$Y$51="Muy Baja",'Mapa final'!$AA$51="Leve"),CONCATENATE("R9C",'Mapa final'!$O$51),"")</f>
        <v/>
      </c>
      <c r="K54" s="74" t="str">
        <f>IF(AND('Mapa final'!$Y$52="Muy Baja",'Mapa final'!$AA$52="Leve"),CONCATENATE("R9C",'Mapa final'!$O$52),"")</f>
        <v/>
      </c>
      <c r="L54" s="74" t="str">
        <f>IF(AND('Mapa final'!$Y$53="Muy Baja",'Mapa final'!$AA$53="Leve"),CONCATENATE("R9C",'Mapa final'!$O$53),"")</f>
        <v/>
      </c>
      <c r="M54" s="74" t="str">
        <f>IF(AND('Mapa final'!$Y$54="Muy Baja",'Mapa final'!$AA$54="Leve"),CONCATENATE("R9C",'Mapa final'!$O$54),"")</f>
        <v/>
      </c>
      <c r="N54" s="74" t="str">
        <f>IF(AND('Mapa final'!$Y$55="Muy Baja",'Mapa final'!$AA$55="Leve"),CONCATENATE("R9C",'Mapa final'!$O$55),"")</f>
        <v/>
      </c>
      <c r="O54" s="75" t="str">
        <f>IF(AND('Mapa final'!$Y$56="Muy Baja",'Mapa final'!$AA$56="Leve"),CONCATENATE("R9C",'Mapa final'!$O$56),"")</f>
        <v/>
      </c>
      <c r="P54" s="73" t="str">
        <f>IF(AND('Mapa final'!$Y$51="Muy Baja",'Mapa final'!$AA$51="Menor"),CONCATENATE("R9C",'Mapa final'!$O$51),"")</f>
        <v/>
      </c>
      <c r="Q54" s="74" t="str">
        <f>IF(AND('Mapa final'!$Y$52="Muy Baja",'Mapa final'!$AA$52="Menor"),CONCATENATE("R9C",'Mapa final'!$O$52),"")</f>
        <v/>
      </c>
      <c r="R54" s="74" t="str">
        <f>IF(AND('Mapa final'!$Y$53="Muy Baja",'Mapa final'!$AA$53="Menor"),CONCATENATE("R9C",'Mapa final'!$O$53),"")</f>
        <v/>
      </c>
      <c r="S54" s="74" t="str">
        <f>IF(AND('Mapa final'!$Y$54="Muy Baja",'Mapa final'!$AA$54="Menor"),CONCATENATE("R9C",'Mapa final'!$O$54),"")</f>
        <v/>
      </c>
      <c r="T54" s="74" t="str">
        <f>IF(AND('Mapa final'!$Y$55="Muy Baja",'Mapa final'!$AA$55="Menor"),CONCATENATE("R9C",'Mapa final'!$O$55),"")</f>
        <v/>
      </c>
      <c r="U54" s="75" t="str">
        <f>IF(AND('Mapa final'!$Y$56="Muy Baja",'Mapa final'!$AA$56="Menor"),CONCATENATE("R9C",'Mapa final'!$O$56),"")</f>
        <v/>
      </c>
      <c r="V54" s="64" t="str">
        <f>IF(AND('Mapa final'!$Y$51="Muy Baja",'Mapa final'!$AA$51="Moderado"),CONCATENATE("R9C",'Mapa final'!$O$51),"")</f>
        <v/>
      </c>
      <c r="W54" s="65" t="str">
        <f>IF(AND('Mapa final'!$Y$52="Muy Baja",'Mapa final'!$AA$52="Moderado"),CONCATENATE("R9C",'Mapa final'!$O$52),"")</f>
        <v/>
      </c>
      <c r="X54" s="65" t="str">
        <f>IF(AND('Mapa final'!$Y$53="Muy Baja",'Mapa final'!$AA$53="Moderado"),CONCATENATE("R9C",'Mapa final'!$O$53),"")</f>
        <v/>
      </c>
      <c r="Y54" s="65" t="str">
        <f>IF(AND('Mapa final'!$Y$54="Muy Baja",'Mapa final'!$AA$54="Moderado"),CONCATENATE("R9C",'Mapa final'!$O$54),"")</f>
        <v/>
      </c>
      <c r="Z54" s="65" t="str">
        <f>IF(AND('Mapa final'!$Y$55="Muy Baja",'Mapa final'!$AA$55="Moderado"),CONCATENATE("R9C",'Mapa final'!$O$55),"")</f>
        <v/>
      </c>
      <c r="AA54" s="66" t="str">
        <f>IF(AND('Mapa final'!$Y$56="Muy Baja",'Mapa final'!$AA$56="Moderado"),CONCATENATE("R9C",'Mapa final'!$O$56),"")</f>
        <v/>
      </c>
      <c r="AB54" s="49" t="str">
        <f>IF(AND('Mapa final'!$Y$51="Muy Baja",'Mapa final'!$AA$51="Mayor"),CONCATENATE("R9C",'Mapa final'!$O$51),"")</f>
        <v/>
      </c>
      <c r="AC54" s="50" t="str">
        <f>IF(AND('Mapa final'!$Y$52="Muy Baja",'Mapa final'!$AA$52="Mayor"),CONCATENATE("R9C",'Mapa final'!$O$52),"")</f>
        <v/>
      </c>
      <c r="AD54" s="50" t="str">
        <f>IF(AND('Mapa final'!$Y$53="Muy Baja",'Mapa final'!$AA$53="Mayor"),CONCATENATE("R9C",'Mapa final'!$O$53),"")</f>
        <v/>
      </c>
      <c r="AE54" s="50" t="str">
        <f>IF(AND('Mapa final'!$Y$54="Muy Baja",'Mapa final'!$AA$54="Mayor"),CONCATENATE("R9C",'Mapa final'!$O$54),"")</f>
        <v/>
      </c>
      <c r="AF54" s="50" t="str">
        <f>IF(AND('Mapa final'!$Y$55="Muy Baja",'Mapa final'!$AA$55="Mayor"),CONCATENATE("R9C",'Mapa final'!$O$55),"")</f>
        <v/>
      </c>
      <c r="AG54" s="51" t="str">
        <f>IF(AND('Mapa final'!$Y$56="Muy Baja",'Mapa final'!$AA$56="Mayor"),CONCATENATE("R9C",'Mapa final'!$O$56),"")</f>
        <v/>
      </c>
      <c r="AH54" s="52" t="str">
        <f>IF(AND('Mapa final'!$Y$51="Muy Baja",'Mapa final'!$AA$51="Catastrófico"),CONCATENATE("R9C",'Mapa final'!$O$51),"")</f>
        <v/>
      </c>
      <c r="AI54" s="53" t="str">
        <f>IF(AND('Mapa final'!$Y$52="Muy Baja",'Mapa final'!$AA$52="Catastrófico"),CONCATENATE("R9C",'Mapa final'!$O$52),"")</f>
        <v/>
      </c>
      <c r="AJ54" s="53" t="str">
        <f>IF(AND('Mapa final'!$Y$53="Muy Baja",'Mapa final'!$AA$53="Catastrófico"),CONCATENATE("R9C",'Mapa final'!$O$53),"")</f>
        <v/>
      </c>
      <c r="AK54" s="53" t="str">
        <f>IF(AND('Mapa final'!$Y$54="Muy Baja",'Mapa final'!$AA$54="Catastrófico"),CONCATENATE("R9C",'Mapa final'!$O$54),"")</f>
        <v/>
      </c>
      <c r="AL54" s="53" t="str">
        <f>IF(AND('Mapa final'!$Y$55="Muy Baja",'Mapa final'!$AA$55="Catastrófico"),CONCATENATE("R9C",'Mapa final'!$O$55),"")</f>
        <v/>
      </c>
      <c r="AM54" s="54" t="str">
        <f>IF(AND('Mapa final'!$Y$56="Muy Baja",'Mapa final'!$AA$56="Catastrófico"),CONCATENATE("R9C",'Mapa final'!$O$56),"")</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294"/>
      <c r="C55" s="294"/>
      <c r="D55" s="295"/>
      <c r="E55" s="268"/>
      <c r="F55" s="269"/>
      <c r="G55" s="269"/>
      <c r="H55" s="269"/>
      <c r="I55" s="270"/>
      <c r="J55" s="76" t="str">
        <f>IF(AND('Mapa final'!$Y$57="Muy Baja",'Mapa final'!$AA$57="Leve"),CONCATENATE("R10C",'Mapa final'!$O$57),"")</f>
        <v/>
      </c>
      <c r="K55" s="77" t="str">
        <f>IF(AND('Mapa final'!$Y$58="Muy Baja",'Mapa final'!$AA$58="Leve"),CONCATENATE("R10C",'Mapa final'!$O$58),"")</f>
        <v/>
      </c>
      <c r="L55" s="77" t="str">
        <f>IF(AND('Mapa final'!$Y$59="Muy Baja",'Mapa final'!$AA$59="Leve"),CONCATENATE("R10C",'Mapa final'!$O$59),"")</f>
        <v/>
      </c>
      <c r="M55" s="77" t="str">
        <f>IF(AND('Mapa final'!$Y$60="Muy Baja",'Mapa final'!$AA$60="Leve"),CONCATENATE("R10C",'Mapa final'!$O$60),"")</f>
        <v/>
      </c>
      <c r="N55" s="77" t="str">
        <f>IF(AND('Mapa final'!$Y$61="Muy Baja",'Mapa final'!$AA$61="Leve"),CONCATENATE("R10C",'Mapa final'!$O$61),"")</f>
        <v/>
      </c>
      <c r="O55" s="78" t="str">
        <f>IF(AND('Mapa final'!$Y$62="Muy Baja",'Mapa final'!$AA$62="Leve"),CONCATENATE("R10C",'Mapa final'!$O$62),"")</f>
        <v/>
      </c>
      <c r="P55" s="76" t="str">
        <f>IF(AND('Mapa final'!$Y$57="Muy Baja",'Mapa final'!$AA$57="Menor"),CONCATENATE("R10C",'Mapa final'!$O$57),"")</f>
        <v/>
      </c>
      <c r="Q55" s="77" t="str">
        <f>IF(AND('Mapa final'!$Y$58="Muy Baja",'Mapa final'!$AA$58="Menor"),CONCATENATE("R10C",'Mapa final'!$O$58),"")</f>
        <v/>
      </c>
      <c r="R55" s="77" t="str">
        <f>IF(AND('Mapa final'!$Y$59="Muy Baja",'Mapa final'!$AA$59="Menor"),CONCATENATE("R10C",'Mapa final'!$O$59),"")</f>
        <v/>
      </c>
      <c r="S55" s="77" t="str">
        <f>IF(AND('Mapa final'!$Y$60="Muy Baja",'Mapa final'!$AA$60="Menor"),CONCATENATE("R10C",'Mapa final'!$O$60),"")</f>
        <v/>
      </c>
      <c r="T55" s="77" t="str">
        <f>IF(AND('Mapa final'!$Y$61="Muy Baja",'Mapa final'!$AA$61="Menor"),CONCATENATE("R10C",'Mapa final'!$O$61),"")</f>
        <v/>
      </c>
      <c r="U55" s="78" t="str">
        <f>IF(AND('Mapa final'!$Y$62="Muy Baja",'Mapa final'!$AA$62="Menor"),CONCATENATE("R10C",'Mapa final'!$O$62),"")</f>
        <v/>
      </c>
      <c r="V55" s="67" t="str">
        <f>IF(AND('Mapa final'!$Y$57="Muy Baja",'Mapa final'!$AA$57="Moderado"),CONCATENATE("R10C",'Mapa final'!$O$57),"")</f>
        <v/>
      </c>
      <c r="W55" s="68" t="str">
        <f>IF(AND('Mapa final'!$Y$58="Muy Baja",'Mapa final'!$AA$58="Moderado"),CONCATENATE("R10C",'Mapa final'!$O$58),"")</f>
        <v/>
      </c>
      <c r="X55" s="68" t="str">
        <f>IF(AND('Mapa final'!$Y$59="Muy Baja",'Mapa final'!$AA$59="Moderado"),CONCATENATE("R10C",'Mapa final'!$O$59),"")</f>
        <v/>
      </c>
      <c r="Y55" s="68" t="str">
        <f>IF(AND('Mapa final'!$Y$60="Muy Baja",'Mapa final'!$AA$60="Moderado"),CONCATENATE("R10C",'Mapa final'!$O$60),"")</f>
        <v/>
      </c>
      <c r="Z55" s="68" t="str">
        <f>IF(AND('Mapa final'!$Y$61="Muy Baja",'Mapa final'!$AA$61="Moderado"),CONCATENATE("R10C",'Mapa final'!$O$61),"")</f>
        <v/>
      </c>
      <c r="AA55" s="69" t="str">
        <f>IF(AND('Mapa final'!$Y$62="Muy Baja",'Mapa final'!$AA$62="Moderado"),CONCATENATE("R10C",'Mapa final'!$O$62),"")</f>
        <v/>
      </c>
      <c r="AB55" s="55" t="str">
        <f>IF(AND('Mapa final'!$Y$57="Muy Baja",'Mapa final'!$AA$57="Mayor"),CONCATENATE("R10C",'Mapa final'!$O$57),"")</f>
        <v/>
      </c>
      <c r="AC55" s="56" t="str">
        <f>IF(AND('Mapa final'!$Y$58="Muy Baja",'Mapa final'!$AA$58="Mayor"),CONCATENATE("R10C",'Mapa final'!$O$58),"")</f>
        <v/>
      </c>
      <c r="AD55" s="56" t="str">
        <f>IF(AND('Mapa final'!$Y$59="Muy Baja",'Mapa final'!$AA$59="Mayor"),CONCATENATE("R10C",'Mapa final'!$O$59),"")</f>
        <v/>
      </c>
      <c r="AE55" s="56" t="str">
        <f>IF(AND('Mapa final'!$Y$60="Muy Baja",'Mapa final'!$AA$60="Mayor"),CONCATENATE("R10C",'Mapa final'!$O$60),"")</f>
        <v/>
      </c>
      <c r="AF55" s="56" t="str">
        <f>IF(AND('Mapa final'!$Y$61="Muy Baja",'Mapa final'!$AA$61="Mayor"),CONCATENATE("R10C",'Mapa final'!$O$61),"")</f>
        <v/>
      </c>
      <c r="AG55" s="57" t="str">
        <f>IF(AND('Mapa final'!$Y$62="Muy Baja",'Mapa final'!$AA$62="Mayor"),CONCATENATE("R10C",'Mapa final'!$O$62),"")</f>
        <v/>
      </c>
      <c r="AH55" s="58" t="str">
        <f>IF(AND('Mapa final'!$Y$57="Muy Baja",'Mapa final'!$AA$57="Catastrófico"),CONCATENATE("R10C",'Mapa final'!$O$57),"")</f>
        <v/>
      </c>
      <c r="AI55" s="59" t="str">
        <f>IF(AND('Mapa final'!$Y$58="Muy Baja",'Mapa final'!$AA$58="Catastrófico"),CONCATENATE("R10C",'Mapa final'!$O$58),"")</f>
        <v/>
      </c>
      <c r="AJ55" s="59" t="str">
        <f>IF(AND('Mapa final'!$Y$59="Muy Baja",'Mapa final'!$AA$59="Catastrófico"),CONCATENATE("R10C",'Mapa final'!$O$59),"")</f>
        <v/>
      </c>
      <c r="AK55" s="59" t="str">
        <f>IF(AND('Mapa final'!$Y$60="Muy Baja",'Mapa final'!$AA$60="Catastrófico"),CONCATENATE("R10C",'Mapa final'!$O$60),"")</f>
        <v/>
      </c>
      <c r="AL55" s="59" t="str">
        <f>IF(AND('Mapa final'!$Y$61="Muy Baja",'Mapa final'!$AA$61="Catastrófico"),CONCATENATE("R10C",'Mapa final'!$O$61),"")</f>
        <v/>
      </c>
      <c r="AM55" s="60" t="str">
        <f>IF(AND('Mapa final'!$Y$62="Muy Baja",'Mapa final'!$AA$62="Catastrófico"),CONCATENATE("R10C",'Mapa final'!$O$62),"")</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262" t="s">
        <v>112</v>
      </c>
      <c r="K56" s="263"/>
      <c r="L56" s="263"/>
      <c r="M56" s="263"/>
      <c r="N56" s="263"/>
      <c r="O56" s="264"/>
      <c r="P56" s="262" t="s">
        <v>111</v>
      </c>
      <c r="Q56" s="263"/>
      <c r="R56" s="263"/>
      <c r="S56" s="263"/>
      <c r="T56" s="263"/>
      <c r="U56" s="264"/>
      <c r="V56" s="262" t="s">
        <v>110</v>
      </c>
      <c r="W56" s="263"/>
      <c r="X56" s="263"/>
      <c r="Y56" s="263"/>
      <c r="Z56" s="263"/>
      <c r="AA56" s="264"/>
      <c r="AB56" s="262" t="s">
        <v>109</v>
      </c>
      <c r="AC56" s="271"/>
      <c r="AD56" s="263"/>
      <c r="AE56" s="263"/>
      <c r="AF56" s="263"/>
      <c r="AG56" s="264"/>
      <c r="AH56" s="262" t="s">
        <v>108</v>
      </c>
      <c r="AI56" s="263"/>
      <c r="AJ56" s="263"/>
      <c r="AK56" s="263"/>
      <c r="AL56" s="263"/>
      <c r="AM56" s="264"/>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265"/>
      <c r="K57" s="266"/>
      <c r="L57" s="266"/>
      <c r="M57" s="266"/>
      <c r="N57" s="266"/>
      <c r="O57" s="267"/>
      <c r="P57" s="265"/>
      <c r="Q57" s="266"/>
      <c r="R57" s="266"/>
      <c r="S57" s="266"/>
      <c r="T57" s="266"/>
      <c r="U57" s="267"/>
      <c r="V57" s="265"/>
      <c r="W57" s="266"/>
      <c r="X57" s="266"/>
      <c r="Y57" s="266"/>
      <c r="Z57" s="266"/>
      <c r="AA57" s="267"/>
      <c r="AB57" s="265"/>
      <c r="AC57" s="266"/>
      <c r="AD57" s="266"/>
      <c r="AE57" s="266"/>
      <c r="AF57" s="266"/>
      <c r="AG57" s="267"/>
      <c r="AH57" s="265"/>
      <c r="AI57" s="266"/>
      <c r="AJ57" s="266"/>
      <c r="AK57" s="266"/>
      <c r="AL57" s="266"/>
      <c r="AM57" s="267"/>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265"/>
      <c r="K58" s="266"/>
      <c r="L58" s="266"/>
      <c r="M58" s="266"/>
      <c r="N58" s="266"/>
      <c r="O58" s="267"/>
      <c r="P58" s="265"/>
      <c r="Q58" s="266"/>
      <c r="R58" s="266"/>
      <c r="S58" s="266"/>
      <c r="T58" s="266"/>
      <c r="U58" s="267"/>
      <c r="V58" s="265"/>
      <c r="W58" s="266"/>
      <c r="X58" s="266"/>
      <c r="Y58" s="266"/>
      <c r="Z58" s="266"/>
      <c r="AA58" s="267"/>
      <c r="AB58" s="265"/>
      <c r="AC58" s="266"/>
      <c r="AD58" s="266"/>
      <c r="AE58" s="266"/>
      <c r="AF58" s="266"/>
      <c r="AG58" s="267"/>
      <c r="AH58" s="265"/>
      <c r="AI58" s="266"/>
      <c r="AJ58" s="266"/>
      <c r="AK58" s="266"/>
      <c r="AL58" s="266"/>
      <c r="AM58" s="267"/>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265"/>
      <c r="K59" s="266"/>
      <c r="L59" s="266"/>
      <c r="M59" s="266"/>
      <c r="N59" s="266"/>
      <c r="O59" s="267"/>
      <c r="P59" s="265"/>
      <c r="Q59" s="266"/>
      <c r="R59" s="266"/>
      <c r="S59" s="266"/>
      <c r="T59" s="266"/>
      <c r="U59" s="267"/>
      <c r="V59" s="265"/>
      <c r="W59" s="266"/>
      <c r="X59" s="266"/>
      <c r="Y59" s="266"/>
      <c r="Z59" s="266"/>
      <c r="AA59" s="267"/>
      <c r="AB59" s="265"/>
      <c r="AC59" s="266"/>
      <c r="AD59" s="266"/>
      <c r="AE59" s="266"/>
      <c r="AF59" s="266"/>
      <c r="AG59" s="267"/>
      <c r="AH59" s="265"/>
      <c r="AI59" s="266"/>
      <c r="AJ59" s="266"/>
      <c r="AK59" s="266"/>
      <c r="AL59" s="266"/>
      <c r="AM59" s="267"/>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265"/>
      <c r="K60" s="266"/>
      <c r="L60" s="266"/>
      <c r="M60" s="266"/>
      <c r="N60" s="266"/>
      <c r="O60" s="267"/>
      <c r="P60" s="265"/>
      <c r="Q60" s="266"/>
      <c r="R60" s="266"/>
      <c r="S60" s="266"/>
      <c r="T60" s="266"/>
      <c r="U60" s="267"/>
      <c r="V60" s="265"/>
      <c r="W60" s="266"/>
      <c r="X60" s="266"/>
      <c r="Y60" s="266"/>
      <c r="Z60" s="266"/>
      <c r="AA60" s="267"/>
      <c r="AB60" s="265"/>
      <c r="AC60" s="266"/>
      <c r="AD60" s="266"/>
      <c r="AE60" s="266"/>
      <c r="AF60" s="266"/>
      <c r="AG60" s="267"/>
      <c r="AH60" s="265"/>
      <c r="AI60" s="266"/>
      <c r="AJ60" s="266"/>
      <c r="AK60" s="266"/>
      <c r="AL60" s="266"/>
      <c r="AM60" s="267"/>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268"/>
      <c r="K61" s="269"/>
      <c r="L61" s="269"/>
      <c r="M61" s="269"/>
      <c r="N61" s="269"/>
      <c r="O61" s="270"/>
      <c r="P61" s="268"/>
      <c r="Q61" s="269"/>
      <c r="R61" s="269"/>
      <c r="S61" s="269"/>
      <c r="T61" s="269"/>
      <c r="U61" s="270"/>
      <c r="V61" s="268"/>
      <c r="W61" s="269"/>
      <c r="X61" s="269"/>
      <c r="Y61" s="269"/>
      <c r="Z61" s="269"/>
      <c r="AA61" s="270"/>
      <c r="AB61" s="268"/>
      <c r="AC61" s="269"/>
      <c r="AD61" s="269"/>
      <c r="AE61" s="269"/>
      <c r="AF61" s="269"/>
      <c r="AG61" s="270"/>
      <c r="AH61" s="268"/>
      <c r="AI61" s="269"/>
      <c r="AJ61" s="269"/>
      <c r="AK61" s="269"/>
      <c r="AL61" s="269"/>
      <c r="AM61" s="27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U140"/>
  <sheetViews>
    <sheetView zoomScale="50" zoomScaleNormal="50" workbookViewId="0">
      <selection activeCell="X30" sqref="X30:Y31"/>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314" t="s">
        <v>161</v>
      </c>
      <c r="C2" s="314"/>
      <c r="D2" s="314"/>
      <c r="E2" s="314"/>
      <c r="F2" s="314"/>
      <c r="G2" s="314"/>
      <c r="H2" s="314"/>
      <c r="I2" s="314"/>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314"/>
      <c r="C3" s="314"/>
      <c r="D3" s="314"/>
      <c r="E3" s="314"/>
      <c r="F3" s="314"/>
      <c r="G3" s="314"/>
      <c r="H3" s="314"/>
      <c r="I3" s="314"/>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314"/>
      <c r="C4" s="314"/>
      <c r="D4" s="314"/>
      <c r="E4" s="314"/>
      <c r="F4" s="314"/>
      <c r="G4" s="314"/>
      <c r="H4" s="314"/>
      <c r="I4" s="314"/>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294" t="s">
        <v>4</v>
      </c>
      <c r="C6" s="294"/>
      <c r="D6" s="295"/>
      <c r="E6" s="351" t="s">
        <v>116</v>
      </c>
      <c r="F6" s="352"/>
      <c r="G6" s="352"/>
      <c r="H6" s="352"/>
      <c r="I6" s="353"/>
      <c r="J6" s="348" t="str">
        <f>IF(AND('Mapa final'!$H$10="Muy Alta",'Mapa final'!$L$10="Leve"),CONCATENATE("R",'Mapa final'!$A$10),"")</f>
        <v/>
      </c>
      <c r="K6" s="349"/>
      <c r="L6" s="349" t="str">
        <f>IF(AND('Mapa final'!$H$16="Muy Alta",'Mapa final'!$L$16="Leve"),CONCATENATE("R",'Mapa final'!$A$16),"")</f>
        <v/>
      </c>
      <c r="M6" s="349"/>
      <c r="N6" s="349" t="str">
        <f>IF(AND('Mapa final'!$H$22="Muy Alta",'Mapa final'!$L$22="Leve"),CONCATENATE("R",'Mapa final'!$A$22),"")</f>
        <v/>
      </c>
      <c r="O6" s="350"/>
      <c r="P6" s="348" t="str">
        <f>IF(AND('Mapa final'!$H$10="Muy Alta",'Mapa final'!$L$10="Menor"),CONCATENATE("R",'Mapa final'!$A$10),"")</f>
        <v/>
      </c>
      <c r="Q6" s="349"/>
      <c r="R6" s="349" t="str">
        <f>IF(AND('Mapa final'!$H$16="Muy Alta",'Mapa final'!$L$16="Menor"),CONCATENATE("R",'Mapa final'!$A$16),"")</f>
        <v/>
      </c>
      <c r="S6" s="349"/>
      <c r="T6" s="349" t="str">
        <f>IF(AND('Mapa final'!$H$22="Muy Alta",'Mapa final'!$L$22="Menor"),CONCATENATE("R",'Mapa final'!$A$22),"")</f>
        <v/>
      </c>
      <c r="U6" s="350"/>
      <c r="V6" s="348" t="str">
        <f>IF(AND('Mapa final'!$H$10="Muy Alta",'Mapa final'!$L$10="Moderado"),CONCATENATE("R",'Mapa final'!$A$10),"")</f>
        <v/>
      </c>
      <c r="W6" s="349"/>
      <c r="X6" s="349" t="str">
        <f>IF(AND('Mapa final'!$H$16="Muy Alta",'Mapa final'!$L$16="Moderado"),CONCATENATE("R",'Mapa final'!$A$16),"")</f>
        <v/>
      </c>
      <c r="Y6" s="349"/>
      <c r="Z6" s="349" t="str">
        <f>IF(AND('Mapa final'!$H$22="Muy Alta",'Mapa final'!$L$22="Moderado"),CONCATENATE("R",'Mapa final'!$A$22),"")</f>
        <v/>
      </c>
      <c r="AA6" s="350"/>
      <c r="AB6" s="348" t="str">
        <f>IF(AND('Mapa final'!$H$10="Muy Alta",'Mapa final'!$L$10="Mayor"),CONCATENATE("R",'Mapa final'!$A$10),"")</f>
        <v/>
      </c>
      <c r="AC6" s="349"/>
      <c r="AD6" s="349" t="str">
        <f>IF(AND('Mapa final'!$H$16="Muy Alta",'Mapa final'!$L$16="Mayor"),CONCATENATE("R",'Mapa final'!$A$16),"")</f>
        <v/>
      </c>
      <c r="AE6" s="349"/>
      <c r="AF6" s="349" t="str">
        <f>IF(AND('Mapa final'!$H$22="Muy Alta",'Mapa final'!$L$22="Mayor"),CONCATENATE("R",'Mapa final'!$A$22),"")</f>
        <v/>
      </c>
      <c r="AG6" s="350"/>
      <c r="AH6" s="339" t="str">
        <f>IF(AND('Mapa final'!$H$10="Muy Alta",'Mapa final'!$L$10="Catastrófico"),CONCATENATE("R",'Mapa final'!$A$10),"")</f>
        <v/>
      </c>
      <c r="AI6" s="340"/>
      <c r="AJ6" s="340" t="str">
        <f>IF(AND('Mapa final'!$H$16="Muy Alta",'Mapa final'!$L$16="Catastrófico"),CONCATENATE("R",'Mapa final'!$A$16),"")</f>
        <v/>
      </c>
      <c r="AK6" s="340"/>
      <c r="AL6" s="340" t="str">
        <f>IF(AND('Mapa final'!$H$22="Muy Alta",'Mapa final'!$L$22="Catastrófico"),CONCATENATE("R",'Mapa final'!$A$22),"")</f>
        <v/>
      </c>
      <c r="AM6" s="341"/>
      <c r="AO6" s="361" t="s">
        <v>79</v>
      </c>
      <c r="AP6" s="362"/>
      <c r="AQ6" s="362"/>
      <c r="AR6" s="362"/>
      <c r="AS6" s="362"/>
      <c r="AT6" s="363"/>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294"/>
      <c r="C7" s="294"/>
      <c r="D7" s="295"/>
      <c r="E7" s="354"/>
      <c r="F7" s="355"/>
      <c r="G7" s="355"/>
      <c r="H7" s="355"/>
      <c r="I7" s="356"/>
      <c r="J7" s="342"/>
      <c r="K7" s="343"/>
      <c r="L7" s="343"/>
      <c r="M7" s="343"/>
      <c r="N7" s="343"/>
      <c r="O7" s="344"/>
      <c r="P7" s="342"/>
      <c r="Q7" s="343"/>
      <c r="R7" s="343"/>
      <c r="S7" s="343"/>
      <c r="T7" s="343"/>
      <c r="U7" s="344"/>
      <c r="V7" s="342"/>
      <c r="W7" s="343"/>
      <c r="X7" s="343"/>
      <c r="Y7" s="343"/>
      <c r="Z7" s="343"/>
      <c r="AA7" s="344"/>
      <c r="AB7" s="342"/>
      <c r="AC7" s="343"/>
      <c r="AD7" s="343"/>
      <c r="AE7" s="343"/>
      <c r="AF7" s="343"/>
      <c r="AG7" s="344"/>
      <c r="AH7" s="333"/>
      <c r="AI7" s="334"/>
      <c r="AJ7" s="334"/>
      <c r="AK7" s="334"/>
      <c r="AL7" s="334"/>
      <c r="AM7" s="335"/>
      <c r="AN7" s="80"/>
      <c r="AO7" s="364"/>
      <c r="AP7" s="365"/>
      <c r="AQ7" s="365"/>
      <c r="AR7" s="365"/>
      <c r="AS7" s="365"/>
      <c r="AT7" s="366"/>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294"/>
      <c r="C8" s="294"/>
      <c r="D8" s="295"/>
      <c r="E8" s="354"/>
      <c r="F8" s="355"/>
      <c r="G8" s="355"/>
      <c r="H8" s="355"/>
      <c r="I8" s="356"/>
      <c r="J8" s="342" t="str">
        <f>IF(AND('Mapa final'!$H$28="Muy Alta",'Mapa final'!$L$28="Leve"),CONCATENATE("R",'Mapa final'!$A$28),"")</f>
        <v/>
      </c>
      <c r="K8" s="343"/>
      <c r="L8" s="343" t="str">
        <f>IF(AND('Mapa final'!$H$33="Muy Alta",'Mapa final'!$L$33="Leve"),CONCATENATE("R",'Mapa final'!$A$33),"")</f>
        <v/>
      </c>
      <c r="M8" s="343"/>
      <c r="N8" s="343" t="e">
        <f>IF(AND('Mapa final'!#REF!="Muy Alta",'Mapa final'!#REF!="Leve"),CONCATENATE("R",'Mapa final'!#REF!),"")</f>
        <v>#REF!</v>
      </c>
      <c r="O8" s="344"/>
      <c r="P8" s="342" t="str">
        <f>IF(AND('Mapa final'!$H$28="Muy Alta",'Mapa final'!$L$28="Menor"),CONCATENATE("R",'Mapa final'!$A$28),"")</f>
        <v/>
      </c>
      <c r="Q8" s="343"/>
      <c r="R8" s="343" t="str">
        <f>IF(AND('Mapa final'!$H$33="Muy Alta",'Mapa final'!$L$33="Menor"),CONCATENATE("R",'Mapa final'!$A$33),"")</f>
        <v/>
      </c>
      <c r="S8" s="343"/>
      <c r="T8" s="343" t="e">
        <f>IF(AND('Mapa final'!#REF!="Muy Alta",'Mapa final'!#REF!="Menor"),CONCATENATE("R",'Mapa final'!#REF!),"")</f>
        <v>#REF!</v>
      </c>
      <c r="U8" s="344"/>
      <c r="V8" s="342" t="str">
        <f>IF(AND('Mapa final'!$H$28="Muy Alta",'Mapa final'!$L$28="Moderado"),CONCATENATE("R",'Mapa final'!$A$28),"")</f>
        <v/>
      </c>
      <c r="W8" s="343"/>
      <c r="X8" s="343" t="str">
        <f>IF(AND('Mapa final'!$H$33="Muy Alta",'Mapa final'!$L$33="Moderado"),CONCATENATE("R",'Mapa final'!$A$33),"")</f>
        <v/>
      </c>
      <c r="Y8" s="343"/>
      <c r="Z8" s="343" t="e">
        <f>IF(AND('Mapa final'!#REF!="Muy Alta",'Mapa final'!#REF!="Moderado"),CONCATENATE("R",'Mapa final'!#REF!),"")</f>
        <v>#REF!</v>
      </c>
      <c r="AA8" s="344"/>
      <c r="AB8" s="342" t="str">
        <f>IF(AND('Mapa final'!$H$28="Muy Alta",'Mapa final'!$L$28="Mayor"),CONCATENATE("R",'Mapa final'!$A$28),"")</f>
        <v/>
      </c>
      <c r="AC8" s="343"/>
      <c r="AD8" s="343" t="str">
        <f>IF(AND('Mapa final'!$H$33="Muy Alta",'Mapa final'!$L$33="Mayor"),CONCATENATE("R",'Mapa final'!$A$33),"")</f>
        <v/>
      </c>
      <c r="AE8" s="343"/>
      <c r="AF8" s="343" t="e">
        <f>IF(AND('Mapa final'!#REF!="Muy Alta",'Mapa final'!#REF!="Mayor"),CONCATENATE("R",'Mapa final'!#REF!),"")</f>
        <v>#REF!</v>
      </c>
      <c r="AG8" s="344"/>
      <c r="AH8" s="333" t="str">
        <f>IF(AND('Mapa final'!$H$28="Muy Alta",'Mapa final'!$L$28="Catastrófico"),CONCATENATE("R",'Mapa final'!$A$28),"")</f>
        <v/>
      </c>
      <c r="AI8" s="334"/>
      <c r="AJ8" s="334" t="str">
        <f>IF(AND('Mapa final'!$H$33="Muy Alta",'Mapa final'!$L$33="Catastrófico"),CONCATENATE("R",'Mapa final'!$A$33),"")</f>
        <v/>
      </c>
      <c r="AK8" s="334"/>
      <c r="AL8" s="334" t="e">
        <f>IF(AND('Mapa final'!#REF!="Muy Alta",'Mapa final'!#REF!="Catastrófico"),CONCATENATE("R",'Mapa final'!#REF!),"")</f>
        <v>#REF!</v>
      </c>
      <c r="AM8" s="335"/>
      <c r="AN8" s="80"/>
      <c r="AO8" s="364"/>
      <c r="AP8" s="365"/>
      <c r="AQ8" s="365"/>
      <c r="AR8" s="365"/>
      <c r="AS8" s="365"/>
      <c r="AT8" s="366"/>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294"/>
      <c r="C9" s="294"/>
      <c r="D9" s="295"/>
      <c r="E9" s="354"/>
      <c r="F9" s="355"/>
      <c r="G9" s="355"/>
      <c r="H9" s="355"/>
      <c r="I9" s="356"/>
      <c r="J9" s="342"/>
      <c r="K9" s="343"/>
      <c r="L9" s="343"/>
      <c r="M9" s="343"/>
      <c r="N9" s="343"/>
      <c r="O9" s="344"/>
      <c r="P9" s="342"/>
      <c r="Q9" s="343"/>
      <c r="R9" s="343"/>
      <c r="S9" s="343"/>
      <c r="T9" s="343"/>
      <c r="U9" s="344"/>
      <c r="V9" s="342"/>
      <c r="W9" s="343"/>
      <c r="X9" s="343"/>
      <c r="Y9" s="343"/>
      <c r="Z9" s="343"/>
      <c r="AA9" s="344"/>
      <c r="AB9" s="342"/>
      <c r="AC9" s="343"/>
      <c r="AD9" s="343"/>
      <c r="AE9" s="343"/>
      <c r="AF9" s="343"/>
      <c r="AG9" s="344"/>
      <c r="AH9" s="333"/>
      <c r="AI9" s="334"/>
      <c r="AJ9" s="334"/>
      <c r="AK9" s="334"/>
      <c r="AL9" s="334"/>
      <c r="AM9" s="335"/>
      <c r="AN9" s="80"/>
      <c r="AO9" s="364"/>
      <c r="AP9" s="365"/>
      <c r="AQ9" s="365"/>
      <c r="AR9" s="365"/>
      <c r="AS9" s="365"/>
      <c r="AT9" s="366"/>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294"/>
      <c r="C10" s="294"/>
      <c r="D10" s="295"/>
      <c r="E10" s="354"/>
      <c r="F10" s="355"/>
      <c r="G10" s="355"/>
      <c r="H10" s="355"/>
      <c r="I10" s="356"/>
      <c r="J10" s="342" t="str">
        <f>IF(AND('Mapa final'!$H$39="Muy Alta",'Mapa final'!$L$39="Leve"),CONCATENATE("R",'Mapa final'!$A$39),"")</f>
        <v/>
      </c>
      <c r="K10" s="343"/>
      <c r="L10" s="343" t="str">
        <f>IF(AND('Mapa final'!$H$45="Muy Alta",'Mapa final'!$L$45="Leve"),CONCATENATE("R",'Mapa final'!$A$45),"")</f>
        <v/>
      </c>
      <c r="M10" s="343"/>
      <c r="N10" s="343" t="str">
        <f>IF(AND('Mapa final'!$H$51="Muy Alta",'Mapa final'!$L$51="Leve"),CONCATENATE("R",'Mapa final'!$A$51),"")</f>
        <v/>
      </c>
      <c r="O10" s="344"/>
      <c r="P10" s="342" t="str">
        <f>IF(AND('Mapa final'!$H$39="Muy Alta",'Mapa final'!$L$39="Menor"),CONCATENATE("R",'Mapa final'!$A$39),"")</f>
        <v/>
      </c>
      <c r="Q10" s="343"/>
      <c r="R10" s="343" t="str">
        <f>IF(AND('Mapa final'!$H$45="Muy Alta",'Mapa final'!$L$45="Menor"),CONCATENATE("R",'Mapa final'!$A$45),"")</f>
        <v/>
      </c>
      <c r="S10" s="343"/>
      <c r="T10" s="343" t="str">
        <f>IF(AND('Mapa final'!$H$51="Muy Alta",'Mapa final'!$L$51="Menor"),CONCATENATE("R",'Mapa final'!$A$51),"")</f>
        <v/>
      </c>
      <c r="U10" s="344"/>
      <c r="V10" s="342" t="str">
        <f>IF(AND('Mapa final'!$H$39="Muy Alta",'Mapa final'!$L$39="Moderado"),CONCATENATE("R",'Mapa final'!$A$39),"")</f>
        <v/>
      </c>
      <c r="W10" s="343"/>
      <c r="X10" s="343" t="str">
        <f>IF(AND('Mapa final'!$H$45="Muy Alta",'Mapa final'!$L$45="Moderado"),CONCATENATE("R",'Mapa final'!$A$45),"")</f>
        <v/>
      </c>
      <c r="Y10" s="343"/>
      <c r="Z10" s="343" t="str">
        <f>IF(AND('Mapa final'!$H$51="Muy Alta",'Mapa final'!$L$51="Moderado"),CONCATENATE("R",'Mapa final'!$A$51),"")</f>
        <v/>
      </c>
      <c r="AA10" s="344"/>
      <c r="AB10" s="342" t="str">
        <f>IF(AND('Mapa final'!$H$39="Muy Alta",'Mapa final'!$L$39="Mayor"),CONCATENATE("R",'Mapa final'!$A$39),"")</f>
        <v/>
      </c>
      <c r="AC10" s="343"/>
      <c r="AD10" s="343" t="str">
        <f>IF(AND('Mapa final'!$H$45="Muy Alta",'Mapa final'!$L$45="Mayor"),CONCATENATE("R",'Mapa final'!$A$45),"")</f>
        <v/>
      </c>
      <c r="AE10" s="343"/>
      <c r="AF10" s="343" t="str">
        <f>IF(AND('Mapa final'!$H$51="Muy Alta",'Mapa final'!$L$51="Mayor"),CONCATENATE("R",'Mapa final'!$A$51),"")</f>
        <v/>
      </c>
      <c r="AG10" s="344"/>
      <c r="AH10" s="333" t="str">
        <f>IF(AND('Mapa final'!$H$39="Muy Alta",'Mapa final'!$L$39="Catastrófico"),CONCATENATE("R",'Mapa final'!$A$39),"")</f>
        <v/>
      </c>
      <c r="AI10" s="334"/>
      <c r="AJ10" s="334" t="str">
        <f>IF(AND('Mapa final'!$H$45="Muy Alta",'Mapa final'!$L$45="Catastrófico"),CONCATENATE("R",'Mapa final'!$A$45),"")</f>
        <v/>
      </c>
      <c r="AK10" s="334"/>
      <c r="AL10" s="334" t="str">
        <f>IF(AND('Mapa final'!$H$51="Muy Alta",'Mapa final'!$L$51="Catastrófico"),CONCATENATE("R",'Mapa final'!$A$51),"")</f>
        <v/>
      </c>
      <c r="AM10" s="335"/>
      <c r="AN10" s="80"/>
      <c r="AO10" s="364"/>
      <c r="AP10" s="365"/>
      <c r="AQ10" s="365"/>
      <c r="AR10" s="365"/>
      <c r="AS10" s="365"/>
      <c r="AT10" s="366"/>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294"/>
      <c r="C11" s="294"/>
      <c r="D11" s="295"/>
      <c r="E11" s="354"/>
      <c r="F11" s="355"/>
      <c r="G11" s="355"/>
      <c r="H11" s="355"/>
      <c r="I11" s="356"/>
      <c r="J11" s="342"/>
      <c r="K11" s="343"/>
      <c r="L11" s="343"/>
      <c r="M11" s="343"/>
      <c r="N11" s="343"/>
      <c r="O11" s="344"/>
      <c r="P11" s="342"/>
      <c r="Q11" s="343"/>
      <c r="R11" s="343"/>
      <c r="S11" s="343"/>
      <c r="T11" s="343"/>
      <c r="U11" s="344"/>
      <c r="V11" s="342"/>
      <c r="W11" s="343"/>
      <c r="X11" s="343"/>
      <c r="Y11" s="343"/>
      <c r="Z11" s="343"/>
      <c r="AA11" s="344"/>
      <c r="AB11" s="342"/>
      <c r="AC11" s="343"/>
      <c r="AD11" s="343"/>
      <c r="AE11" s="343"/>
      <c r="AF11" s="343"/>
      <c r="AG11" s="344"/>
      <c r="AH11" s="333"/>
      <c r="AI11" s="334"/>
      <c r="AJ11" s="334"/>
      <c r="AK11" s="334"/>
      <c r="AL11" s="334"/>
      <c r="AM11" s="335"/>
      <c r="AN11" s="80"/>
      <c r="AO11" s="364"/>
      <c r="AP11" s="365"/>
      <c r="AQ11" s="365"/>
      <c r="AR11" s="365"/>
      <c r="AS11" s="365"/>
      <c r="AT11" s="366"/>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294"/>
      <c r="C12" s="294"/>
      <c r="D12" s="295"/>
      <c r="E12" s="354"/>
      <c r="F12" s="355"/>
      <c r="G12" s="355"/>
      <c r="H12" s="355"/>
      <c r="I12" s="356"/>
      <c r="J12" s="342" t="str">
        <f>IF(AND('Mapa final'!$H$57="Muy Alta",'Mapa final'!$L$57="Leve"),CONCATENATE("R",'Mapa final'!$A$57),"")</f>
        <v/>
      </c>
      <c r="K12" s="343"/>
      <c r="L12" s="343" t="str">
        <f>IF(AND('Mapa final'!$H$63="Muy Alta",'Mapa final'!$L$63="Leve"),CONCATENATE("R",'Mapa final'!$A$63),"")</f>
        <v/>
      </c>
      <c r="M12" s="343"/>
      <c r="N12" s="343" t="str">
        <f>IF(AND('Mapa final'!$H$69="Muy Alta",'Mapa final'!$L$69="Leve"),CONCATENATE("R",'Mapa final'!$A$69),"")</f>
        <v/>
      </c>
      <c r="O12" s="344"/>
      <c r="P12" s="342" t="str">
        <f>IF(AND('Mapa final'!$H$57="Muy Alta",'Mapa final'!$L$57="Menor"),CONCATENATE("R",'Mapa final'!$A$57),"")</f>
        <v/>
      </c>
      <c r="Q12" s="343"/>
      <c r="R12" s="343" t="str">
        <f>IF(AND('Mapa final'!$H$63="Muy Alta",'Mapa final'!$L$63="Menor"),CONCATENATE("R",'Mapa final'!$A$63),"")</f>
        <v/>
      </c>
      <c r="S12" s="343"/>
      <c r="T12" s="343" t="str">
        <f>IF(AND('Mapa final'!$H$69="Muy Alta",'Mapa final'!$L$69="Menor"),CONCATENATE("R",'Mapa final'!$A$69),"")</f>
        <v/>
      </c>
      <c r="U12" s="344"/>
      <c r="V12" s="342" t="str">
        <f>IF(AND('Mapa final'!$H$57="Muy Alta",'Mapa final'!$L$57="Moderado"),CONCATENATE("R",'Mapa final'!$A$57),"")</f>
        <v/>
      </c>
      <c r="W12" s="343"/>
      <c r="X12" s="343" t="str">
        <f>IF(AND('Mapa final'!$H$63="Muy Alta",'Mapa final'!$L$63="Moderado"),CONCATENATE("R",'Mapa final'!$A$63),"")</f>
        <v/>
      </c>
      <c r="Y12" s="343"/>
      <c r="Z12" s="343" t="str">
        <f>IF(AND('Mapa final'!$H$69="Muy Alta",'Mapa final'!$L$69="Moderado"),CONCATENATE("R",'Mapa final'!$A$69),"")</f>
        <v/>
      </c>
      <c r="AA12" s="344"/>
      <c r="AB12" s="342" t="str">
        <f>IF(AND('Mapa final'!$H$57="Muy Alta",'Mapa final'!$L$57="Mayor"),CONCATENATE("R",'Mapa final'!$A$57),"")</f>
        <v/>
      </c>
      <c r="AC12" s="343"/>
      <c r="AD12" s="343" t="str">
        <f>IF(AND('Mapa final'!$H$63="Muy Alta",'Mapa final'!$L$63="Mayor"),CONCATENATE("R",'Mapa final'!$A$63),"")</f>
        <v/>
      </c>
      <c r="AE12" s="343"/>
      <c r="AF12" s="343" t="str">
        <f>IF(AND('Mapa final'!$H$69="Muy Alta",'Mapa final'!$L$69="Mayor"),CONCATENATE("R",'Mapa final'!$A$69),"")</f>
        <v/>
      </c>
      <c r="AG12" s="344"/>
      <c r="AH12" s="333" t="str">
        <f>IF(AND('Mapa final'!$H$57="Muy Alta",'Mapa final'!$L$57="Catastrófico"),CONCATENATE("R",'Mapa final'!$A$57),"")</f>
        <v/>
      </c>
      <c r="AI12" s="334"/>
      <c r="AJ12" s="334" t="str">
        <f>IF(AND('Mapa final'!$H$63="Muy Alta",'Mapa final'!$L$63="Catastrófico"),CONCATENATE("R",'Mapa final'!$A$63),"")</f>
        <v/>
      </c>
      <c r="AK12" s="334"/>
      <c r="AL12" s="334" t="str">
        <f>IF(AND('Mapa final'!$H$69="Muy Alta",'Mapa final'!$L$69="Catastrófico"),CONCATENATE("R",'Mapa final'!$A$69),"")</f>
        <v/>
      </c>
      <c r="AM12" s="335"/>
      <c r="AN12" s="80"/>
      <c r="AO12" s="364"/>
      <c r="AP12" s="365"/>
      <c r="AQ12" s="365"/>
      <c r="AR12" s="365"/>
      <c r="AS12" s="365"/>
      <c r="AT12" s="366"/>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294"/>
      <c r="C13" s="294"/>
      <c r="D13" s="295"/>
      <c r="E13" s="357"/>
      <c r="F13" s="358"/>
      <c r="G13" s="358"/>
      <c r="H13" s="358"/>
      <c r="I13" s="359"/>
      <c r="J13" s="342"/>
      <c r="K13" s="343"/>
      <c r="L13" s="343"/>
      <c r="M13" s="343"/>
      <c r="N13" s="343"/>
      <c r="O13" s="344"/>
      <c r="P13" s="342"/>
      <c r="Q13" s="343"/>
      <c r="R13" s="343"/>
      <c r="S13" s="343"/>
      <c r="T13" s="343"/>
      <c r="U13" s="344"/>
      <c r="V13" s="342"/>
      <c r="W13" s="343"/>
      <c r="X13" s="343"/>
      <c r="Y13" s="343"/>
      <c r="Z13" s="343"/>
      <c r="AA13" s="344"/>
      <c r="AB13" s="342"/>
      <c r="AC13" s="343"/>
      <c r="AD13" s="343"/>
      <c r="AE13" s="343"/>
      <c r="AF13" s="343"/>
      <c r="AG13" s="344"/>
      <c r="AH13" s="336"/>
      <c r="AI13" s="337"/>
      <c r="AJ13" s="337"/>
      <c r="AK13" s="337"/>
      <c r="AL13" s="337"/>
      <c r="AM13" s="338"/>
      <c r="AN13" s="80"/>
      <c r="AO13" s="367"/>
      <c r="AP13" s="368"/>
      <c r="AQ13" s="368"/>
      <c r="AR13" s="368"/>
      <c r="AS13" s="368"/>
      <c r="AT13" s="369"/>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294"/>
      <c r="C14" s="294"/>
      <c r="D14" s="295"/>
      <c r="E14" s="351" t="s">
        <v>115</v>
      </c>
      <c r="F14" s="352"/>
      <c r="G14" s="352"/>
      <c r="H14" s="352"/>
      <c r="I14" s="352"/>
      <c r="J14" s="330" t="str">
        <f>IF(AND('Mapa final'!$H$10="Alta",'Mapa final'!$L$10="Leve"),CONCATENATE("R",'Mapa final'!$A$10),"")</f>
        <v/>
      </c>
      <c r="K14" s="331"/>
      <c r="L14" s="331" t="str">
        <f>IF(AND('Mapa final'!$H$16="Alta",'Mapa final'!$L$16="Leve"),CONCATENATE("R",'Mapa final'!$A$16),"")</f>
        <v/>
      </c>
      <c r="M14" s="331"/>
      <c r="N14" s="331" t="str">
        <f>IF(AND('Mapa final'!$H$22="Alta",'Mapa final'!$L$22="Leve"),CONCATENATE("R",'Mapa final'!$A$22),"")</f>
        <v/>
      </c>
      <c r="O14" s="332"/>
      <c r="P14" s="330" t="str">
        <f>IF(AND('Mapa final'!$H$10="Alta",'Mapa final'!$L$10="Menor"),CONCATENATE("R",'Mapa final'!$A$10),"")</f>
        <v/>
      </c>
      <c r="Q14" s="331"/>
      <c r="R14" s="331" t="str">
        <f>IF(AND('Mapa final'!$H$16="Alta",'Mapa final'!$L$16="Menor"),CONCATENATE("R",'Mapa final'!$A$16),"")</f>
        <v/>
      </c>
      <c r="S14" s="331"/>
      <c r="T14" s="331" t="str">
        <f>IF(AND('Mapa final'!$H$22="Alta",'Mapa final'!$L$22="Menor"),CONCATENATE("R",'Mapa final'!$A$22),"")</f>
        <v/>
      </c>
      <c r="U14" s="332"/>
      <c r="V14" s="348" t="str">
        <f>IF(AND('Mapa final'!$H$10="Alta",'Mapa final'!$L$10="Moderado"),CONCATENATE("R",'Mapa final'!$A$10),"")</f>
        <v/>
      </c>
      <c r="W14" s="349"/>
      <c r="X14" s="349" t="str">
        <f>IF(AND('Mapa final'!$H$16="Alta",'Mapa final'!$L$16="Moderado"),CONCATENATE("R",'Mapa final'!$A$16),"")</f>
        <v/>
      </c>
      <c r="Y14" s="349"/>
      <c r="Z14" s="349" t="str">
        <f>IF(AND('Mapa final'!$H$22="Alta",'Mapa final'!$L$22="Moderado"),CONCATENATE("R",'Mapa final'!$A$22),"")</f>
        <v/>
      </c>
      <c r="AA14" s="350"/>
      <c r="AB14" s="348" t="str">
        <f>IF(AND('Mapa final'!$H$10="Alta",'Mapa final'!$L$10="Mayor"),CONCATENATE("R",'Mapa final'!$A$10),"")</f>
        <v/>
      </c>
      <c r="AC14" s="349"/>
      <c r="AD14" s="349" t="str">
        <f>IF(AND('Mapa final'!$H$16="Alta",'Mapa final'!$L$16="Mayor"),CONCATENATE("R",'Mapa final'!$A$16),"")</f>
        <v/>
      </c>
      <c r="AE14" s="349"/>
      <c r="AF14" s="349" t="str">
        <f>IF(AND('Mapa final'!$H$22="Alta",'Mapa final'!$L$22="Mayor"),CONCATENATE("R",'Mapa final'!$A$22),"")</f>
        <v/>
      </c>
      <c r="AG14" s="350"/>
      <c r="AH14" s="339" t="str">
        <f>IF(AND('Mapa final'!$H$10="Alta",'Mapa final'!$L$10="Catastrófico"),CONCATENATE("R",'Mapa final'!$A$10),"")</f>
        <v/>
      </c>
      <c r="AI14" s="340"/>
      <c r="AJ14" s="340" t="str">
        <f>IF(AND('Mapa final'!$H$16="Alta",'Mapa final'!$L$16="Catastrófico"),CONCATENATE("R",'Mapa final'!$A$16),"")</f>
        <v/>
      </c>
      <c r="AK14" s="340"/>
      <c r="AL14" s="340" t="str">
        <f>IF(AND('Mapa final'!$H$22="Alta",'Mapa final'!$L$22="Catastrófico"),CONCATENATE("R",'Mapa final'!$A$22),"")</f>
        <v/>
      </c>
      <c r="AM14" s="341"/>
      <c r="AN14" s="80"/>
      <c r="AO14" s="370" t="s">
        <v>80</v>
      </c>
      <c r="AP14" s="371"/>
      <c r="AQ14" s="371"/>
      <c r="AR14" s="371"/>
      <c r="AS14" s="371"/>
      <c r="AT14" s="372"/>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294"/>
      <c r="C15" s="294"/>
      <c r="D15" s="295"/>
      <c r="E15" s="354"/>
      <c r="F15" s="355"/>
      <c r="G15" s="355"/>
      <c r="H15" s="355"/>
      <c r="I15" s="355"/>
      <c r="J15" s="324"/>
      <c r="K15" s="325"/>
      <c r="L15" s="325"/>
      <c r="M15" s="325"/>
      <c r="N15" s="325"/>
      <c r="O15" s="326"/>
      <c r="P15" s="324"/>
      <c r="Q15" s="325"/>
      <c r="R15" s="325"/>
      <c r="S15" s="325"/>
      <c r="T15" s="325"/>
      <c r="U15" s="326"/>
      <c r="V15" s="342"/>
      <c r="W15" s="343"/>
      <c r="X15" s="343"/>
      <c r="Y15" s="343"/>
      <c r="Z15" s="343"/>
      <c r="AA15" s="344"/>
      <c r="AB15" s="342"/>
      <c r="AC15" s="343"/>
      <c r="AD15" s="343"/>
      <c r="AE15" s="343"/>
      <c r="AF15" s="343"/>
      <c r="AG15" s="344"/>
      <c r="AH15" s="333"/>
      <c r="AI15" s="334"/>
      <c r="AJ15" s="334"/>
      <c r="AK15" s="334"/>
      <c r="AL15" s="334"/>
      <c r="AM15" s="335"/>
      <c r="AN15" s="80"/>
      <c r="AO15" s="373"/>
      <c r="AP15" s="374"/>
      <c r="AQ15" s="374"/>
      <c r="AR15" s="374"/>
      <c r="AS15" s="374"/>
      <c r="AT15" s="375"/>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294"/>
      <c r="C16" s="294"/>
      <c r="D16" s="295"/>
      <c r="E16" s="354"/>
      <c r="F16" s="355"/>
      <c r="G16" s="355"/>
      <c r="H16" s="355"/>
      <c r="I16" s="355"/>
      <c r="J16" s="324" t="str">
        <f>IF(AND('Mapa final'!$H$28="Alta",'Mapa final'!$L$28="Leve"),CONCATENATE("R",'Mapa final'!$A$28),"")</f>
        <v/>
      </c>
      <c r="K16" s="325"/>
      <c r="L16" s="325" t="str">
        <f>IF(AND('Mapa final'!$H$33="Alta",'Mapa final'!$L$33="Leve"),CONCATENATE("R",'Mapa final'!$A$33),"")</f>
        <v/>
      </c>
      <c r="M16" s="325"/>
      <c r="N16" s="325" t="e">
        <f>IF(AND('Mapa final'!#REF!="Alta",'Mapa final'!#REF!="Leve"),CONCATENATE("R",'Mapa final'!#REF!),"")</f>
        <v>#REF!</v>
      </c>
      <c r="O16" s="326"/>
      <c r="P16" s="324" t="str">
        <f>IF(AND('Mapa final'!$H$28="Alta",'Mapa final'!$L$28="Menor"),CONCATENATE("R",'Mapa final'!$A$28),"")</f>
        <v/>
      </c>
      <c r="Q16" s="325"/>
      <c r="R16" s="325" t="str">
        <f>IF(AND('Mapa final'!$H$33="Alta",'Mapa final'!$L$33="Menor"),CONCATENATE("R",'Mapa final'!$A$33),"")</f>
        <v/>
      </c>
      <c r="S16" s="325"/>
      <c r="T16" s="325" t="e">
        <f>IF(AND('Mapa final'!#REF!="Alta",'Mapa final'!#REF!="Menor"),CONCATENATE("R",'Mapa final'!#REF!),"")</f>
        <v>#REF!</v>
      </c>
      <c r="U16" s="326"/>
      <c r="V16" s="342" t="str">
        <f>IF(AND('Mapa final'!$H$28="Alta",'Mapa final'!$L$28="Moderado"),CONCATENATE("R",'Mapa final'!$A$28),"")</f>
        <v/>
      </c>
      <c r="W16" s="343"/>
      <c r="X16" s="343" t="str">
        <f>IF(AND('Mapa final'!$H$33="Alta",'Mapa final'!$L$33="Moderado"),CONCATENATE("R",'Mapa final'!$A$33),"")</f>
        <v/>
      </c>
      <c r="Y16" s="343"/>
      <c r="Z16" s="343" t="e">
        <f>IF(AND('Mapa final'!#REF!="Alta",'Mapa final'!#REF!="Moderado"),CONCATENATE("R",'Mapa final'!#REF!),"")</f>
        <v>#REF!</v>
      </c>
      <c r="AA16" s="344"/>
      <c r="AB16" s="342" t="str">
        <f>IF(AND('Mapa final'!$H$28="Alta",'Mapa final'!$L$28="Mayor"),CONCATENATE("R",'Mapa final'!$A$28),"")</f>
        <v/>
      </c>
      <c r="AC16" s="343"/>
      <c r="AD16" s="343" t="str">
        <f>IF(AND('Mapa final'!$H$33="Alta",'Mapa final'!$L$33="Mayor"),CONCATENATE("R",'Mapa final'!$A$33),"")</f>
        <v/>
      </c>
      <c r="AE16" s="343"/>
      <c r="AF16" s="343" t="e">
        <f>IF(AND('Mapa final'!#REF!="Alta",'Mapa final'!#REF!="Mayor"),CONCATENATE("R",'Mapa final'!#REF!),"")</f>
        <v>#REF!</v>
      </c>
      <c r="AG16" s="344"/>
      <c r="AH16" s="333" t="str">
        <f>IF(AND('Mapa final'!$H$28="Alta",'Mapa final'!$L$28="Catastrófico"),CONCATENATE("R",'Mapa final'!$A$28),"")</f>
        <v/>
      </c>
      <c r="AI16" s="334"/>
      <c r="AJ16" s="334" t="str">
        <f>IF(AND('Mapa final'!$H$33="Alta",'Mapa final'!$L$33="Catastrófico"),CONCATENATE("R",'Mapa final'!$A$33),"")</f>
        <v/>
      </c>
      <c r="AK16" s="334"/>
      <c r="AL16" s="334" t="e">
        <f>IF(AND('Mapa final'!#REF!="Alta",'Mapa final'!#REF!="Catastrófico"),CONCATENATE("R",'Mapa final'!#REF!),"")</f>
        <v>#REF!</v>
      </c>
      <c r="AM16" s="335"/>
      <c r="AN16" s="80"/>
      <c r="AO16" s="373"/>
      <c r="AP16" s="374"/>
      <c r="AQ16" s="374"/>
      <c r="AR16" s="374"/>
      <c r="AS16" s="374"/>
      <c r="AT16" s="375"/>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294"/>
      <c r="C17" s="294"/>
      <c r="D17" s="295"/>
      <c r="E17" s="354"/>
      <c r="F17" s="355"/>
      <c r="G17" s="355"/>
      <c r="H17" s="355"/>
      <c r="I17" s="355"/>
      <c r="J17" s="324"/>
      <c r="K17" s="325"/>
      <c r="L17" s="325"/>
      <c r="M17" s="325"/>
      <c r="N17" s="325"/>
      <c r="O17" s="326"/>
      <c r="P17" s="324"/>
      <c r="Q17" s="325"/>
      <c r="R17" s="325"/>
      <c r="S17" s="325"/>
      <c r="T17" s="325"/>
      <c r="U17" s="326"/>
      <c r="V17" s="342"/>
      <c r="W17" s="343"/>
      <c r="X17" s="343"/>
      <c r="Y17" s="343"/>
      <c r="Z17" s="343"/>
      <c r="AA17" s="344"/>
      <c r="AB17" s="342"/>
      <c r="AC17" s="343"/>
      <c r="AD17" s="343"/>
      <c r="AE17" s="343"/>
      <c r="AF17" s="343"/>
      <c r="AG17" s="344"/>
      <c r="AH17" s="333"/>
      <c r="AI17" s="334"/>
      <c r="AJ17" s="334"/>
      <c r="AK17" s="334"/>
      <c r="AL17" s="334"/>
      <c r="AM17" s="335"/>
      <c r="AN17" s="80"/>
      <c r="AO17" s="373"/>
      <c r="AP17" s="374"/>
      <c r="AQ17" s="374"/>
      <c r="AR17" s="374"/>
      <c r="AS17" s="374"/>
      <c r="AT17" s="375"/>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294"/>
      <c r="C18" s="294"/>
      <c r="D18" s="295"/>
      <c r="E18" s="354"/>
      <c r="F18" s="355"/>
      <c r="G18" s="355"/>
      <c r="H18" s="355"/>
      <c r="I18" s="355"/>
      <c r="J18" s="324" t="str">
        <f>IF(AND('Mapa final'!$H$39="Alta",'Mapa final'!$L$39="Leve"),CONCATENATE("R",'Mapa final'!$A$39),"")</f>
        <v/>
      </c>
      <c r="K18" s="325"/>
      <c r="L18" s="325" t="str">
        <f>IF(AND('Mapa final'!$H$45="Alta",'Mapa final'!$L$45="Leve"),CONCATENATE("R",'Mapa final'!$A$45),"")</f>
        <v/>
      </c>
      <c r="M18" s="325"/>
      <c r="N18" s="325" t="str">
        <f>IF(AND('Mapa final'!$H$51="Alta",'Mapa final'!$L$51="Leve"),CONCATENATE("R",'Mapa final'!$A$51),"")</f>
        <v/>
      </c>
      <c r="O18" s="326"/>
      <c r="P18" s="324" t="str">
        <f>IF(AND('Mapa final'!$H$39="Alta",'Mapa final'!$L$39="Menor"),CONCATENATE("R",'Mapa final'!$A$39),"")</f>
        <v/>
      </c>
      <c r="Q18" s="325"/>
      <c r="R18" s="325" t="str">
        <f>IF(AND('Mapa final'!$H$45="Alta",'Mapa final'!$L$45="Menor"),CONCATENATE("R",'Mapa final'!$A$45),"")</f>
        <v/>
      </c>
      <c r="S18" s="325"/>
      <c r="T18" s="325" t="str">
        <f>IF(AND('Mapa final'!$H$51="Alta",'Mapa final'!$L$51="Menor"),CONCATENATE("R",'Mapa final'!$A$51),"")</f>
        <v/>
      </c>
      <c r="U18" s="326"/>
      <c r="V18" s="342" t="str">
        <f>IF(AND('Mapa final'!$H$39="Alta",'Mapa final'!$L$39="Moderado"),CONCATENATE("R",'Mapa final'!$A$39),"")</f>
        <v/>
      </c>
      <c r="W18" s="343"/>
      <c r="X18" s="343" t="str">
        <f>IF(AND('Mapa final'!$H$45="Alta",'Mapa final'!$L$45="Moderado"),CONCATENATE("R",'Mapa final'!$A$45),"")</f>
        <v/>
      </c>
      <c r="Y18" s="343"/>
      <c r="Z18" s="343" t="str">
        <f>IF(AND('Mapa final'!$H$51="Alta",'Mapa final'!$L$51="Moderado"),CONCATENATE("R",'Mapa final'!$A$51),"")</f>
        <v/>
      </c>
      <c r="AA18" s="344"/>
      <c r="AB18" s="342" t="str">
        <f>IF(AND('Mapa final'!$H$39="Alta",'Mapa final'!$L$39="Mayor"),CONCATENATE("R",'Mapa final'!$A$39),"")</f>
        <v/>
      </c>
      <c r="AC18" s="343"/>
      <c r="AD18" s="343" t="str">
        <f>IF(AND('Mapa final'!$H$45="Alta",'Mapa final'!$L$45="Mayor"),CONCATENATE("R",'Mapa final'!$A$45),"")</f>
        <v/>
      </c>
      <c r="AE18" s="343"/>
      <c r="AF18" s="343" t="str">
        <f>IF(AND('Mapa final'!$H$51="Alta",'Mapa final'!$L$51="Mayor"),CONCATENATE("R",'Mapa final'!$A$51),"")</f>
        <v/>
      </c>
      <c r="AG18" s="344"/>
      <c r="AH18" s="333" t="str">
        <f>IF(AND('Mapa final'!$H$39="Alta",'Mapa final'!$L$39="Catastrófico"),CONCATENATE("R",'Mapa final'!$A$39),"")</f>
        <v/>
      </c>
      <c r="AI18" s="334"/>
      <c r="AJ18" s="334" t="str">
        <f>IF(AND('Mapa final'!$H$45="Alta",'Mapa final'!$L$45="Catastrófico"),CONCATENATE("R",'Mapa final'!$A$45),"")</f>
        <v/>
      </c>
      <c r="AK18" s="334"/>
      <c r="AL18" s="334" t="str">
        <f>IF(AND('Mapa final'!$H$51="Alta",'Mapa final'!$L$51="Catastrófico"),CONCATENATE("R",'Mapa final'!$A$51),"")</f>
        <v/>
      </c>
      <c r="AM18" s="335"/>
      <c r="AN18" s="80"/>
      <c r="AO18" s="373"/>
      <c r="AP18" s="374"/>
      <c r="AQ18" s="374"/>
      <c r="AR18" s="374"/>
      <c r="AS18" s="374"/>
      <c r="AT18" s="375"/>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294"/>
      <c r="C19" s="294"/>
      <c r="D19" s="295"/>
      <c r="E19" s="354"/>
      <c r="F19" s="355"/>
      <c r="G19" s="355"/>
      <c r="H19" s="355"/>
      <c r="I19" s="355"/>
      <c r="J19" s="324"/>
      <c r="K19" s="325"/>
      <c r="L19" s="325"/>
      <c r="M19" s="325"/>
      <c r="N19" s="325"/>
      <c r="O19" s="326"/>
      <c r="P19" s="324"/>
      <c r="Q19" s="325"/>
      <c r="R19" s="325"/>
      <c r="S19" s="325"/>
      <c r="T19" s="325"/>
      <c r="U19" s="326"/>
      <c r="V19" s="342"/>
      <c r="W19" s="343"/>
      <c r="X19" s="343"/>
      <c r="Y19" s="343"/>
      <c r="Z19" s="343"/>
      <c r="AA19" s="344"/>
      <c r="AB19" s="342"/>
      <c r="AC19" s="343"/>
      <c r="AD19" s="343"/>
      <c r="AE19" s="343"/>
      <c r="AF19" s="343"/>
      <c r="AG19" s="344"/>
      <c r="AH19" s="333"/>
      <c r="AI19" s="334"/>
      <c r="AJ19" s="334"/>
      <c r="AK19" s="334"/>
      <c r="AL19" s="334"/>
      <c r="AM19" s="335"/>
      <c r="AN19" s="80"/>
      <c r="AO19" s="373"/>
      <c r="AP19" s="374"/>
      <c r="AQ19" s="374"/>
      <c r="AR19" s="374"/>
      <c r="AS19" s="374"/>
      <c r="AT19" s="375"/>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294"/>
      <c r="C20" s="294"/>
      <c r="D20" s="295"/>
      <c r="E20" s="354"/>
      <c r="F20" s="355"/>
      <c r="G20" s="355"/>
      <c r="H20" s="355"/>
      <c r="I20" s="355"/>
      <c r="J20" s="324" t="str">
        <f>IF(AND('Mapa final'!$H$57="Alta",'Mapa final'!$L$57="Leve"),CONCATENATE("R",'Mapa final'!$A$57),"")</f>
        <v/>
      </c>
      <c r="K20" s="325"/>
      <c r="L20" s="325" t="str">
        <f>IF(AND('Mapa final'!$H$63="Alta",'Mapa final'!$L$63="Leve"),CONCATENATE("R",'Mapa final'!$A$63),"")</f>
        <v/>
      </c>
      <c r="M20" s="325"/>
      <c r="N20" s="325" t="str">
        <f>IF(AND('Mapa final'!$H$69="Alta",'Mapa final'!$L$69="Leve"),CONCATENATE("R",'Mapa final'!$A$69),"")</f>
        <v/>
      </c>
      <c r="O20" s="326"/>
      <c r="P20" s="324" t="str">
        <f>IF(AND('Mapa final'!$H$57="Alta",'Mapa final'!$L$57="Menor"),CONCATENATE("R",'Mapa final'!$A$57),"")</f>
        <v/>
      </c>
      <c r="Q20" s="325"/>
      <c r="R20" s="325" t="str">
        <f>IF(AND('Mapa final'!$H$63="Alta",'Mapa final'!$L$63="Menor"),CONCATENATE("R",'Mapa final'!$A$63),"")</f>
        <v/>
      </c>
      <c r="S20" s="325"/>
      <c r="T20" s="325" t="str">
        <f>IF(AND('Mapa final'!$H$69="Alta",'Mapa final'!$L$69="Menor"),CONCATENATE("R",'Mapa final'!$A$69),"")</f>
        <v/>
      </c>
      <c r="U20" s="326"/>
      <c r="V20" s="342" t="str">
        <f>IF(AND('Mapa final'!$H$57="Alta",'Mapa final'!$L$57="Moderado"),CONCATENATE("R",'Mapa final'!$A$57),"")</f>
        <v/>
      </c>
      <c r="W20" s="343"/>
      <c r="X20" s="343" t="str">
        <f>IF(AND('Mapa final'!$H$63="Alta",'Mapa final'!$L$63="Moderado"),CONCATENATE("R",'Mapa final'!$A$63),"")</f>
        <v/>
      </c>
      <c r="Y20" s="343"/>
      <c r="Z20" s="343" t="str">
        <f>IF(AND('Mapa final'!$H$69="Alta",'Mapa final'!$L$69="Moderado"),CONCATENATE("R",'Mapa final'!$A$69),"")</f>
        <v/>
      </c>
      <c r="AA20" s="344"/>
      <c r="AB20" s="342" t="str">
        <f>IF(AND('Mapa final'!$H$57="Alta",'Mapa final'!$L$57="Mayor"),CONCATENATE("R",'Mapa final'!$A$57),"")</f>
        <v/>
      </c>
      <c r="AC20" s="343"/>
      <c r="AD20" s="343" t="str">
        <f>IF(AND('Mapa final'!$H$63="Alta",'Mapa final'!$L$63="Mayor"),CONCATENATE("R",'Mapa final'!$A$63),"")</f>
        <v/>
      </c>
      <c r="AE20" s="343"/>
      <c r="AF20" s="343" t="str">
        <f>IF(AND('Mapa final'!$H$69="Alta",'Mapa final'!$L$69="Mayor"),CONCATENATE("R",'Mapa final'!$A$69),"")</f>
        <v/>
      </c>
      <c r="AG20" s="344"/>
      <c r="AH20" s="333" t="str">
        <f>IF(AND('Mapa final'!$H$57="Alta",'Mapa final'!$L$57="Catastrófico"),CONCATENATE("R",'Mapa final'!$A$57),"")</f>
        <v/>
      </c>
      <c r="AI20" s="334"/>
      <c r="AJ20" s="334" t="str">
        <f>IF(AND('Mapa final'!$H$63="Alta",'Mapa final'!$L$63="Catastrófico"),CONCATENATE("R",'Mapa final'!$A$63),"")</f>
        <v/>
      </c>
      <c r="AK20" s="334"/>
      <c r="AL20" s="334" t="str">
        <f>IF(AND('Mapa final'!$H$69="Alta",'Mapa final'!$L$69="Catastrófico"),CONCATENATE("R",'Mapa final'!$A$69),"")</f>
        <v/>
      </c>
      <c r="AM20" s="335"/>
      <c r="AN20" s="80"/>
      <c r="AO20" s="373"/>
      <c r="AP20" s="374"/>
      <c r="AQ20" s="374"/>
      <c r="AR20" s="374"/>
      <c r="AS20" s="374"/>
      <c r="AT20" s="375"/>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294"/>
      <c r="C21" s="294"/>
      <c r="D21" s="295"/>
      <c r="E21" s="357"/>
      <c r="F21" s="358"/>
      <c r="G21" s="358"/>
      <c r="H21" s="358"/>
      <c r="I21" s="358"/>
      <c r="J21" s="327"/>
      <c r="K21" s="328"/>
      <c r="L21" s="328"/>
      <c r="M21" s="328"/>
      <c r="N21" s="328"/>
      <c r="O21" s="329"/>
      <c r="P21" s="327"/>
      <c r="Q21" s="328"/>
      <c r="R21" s="328"/>
      <c r="S21" s="328"/>
      <c r="T21" s="328"/>
      <c r="U21" s="329"/>
      <c r="V21" s="345"/>
      <c r="W21" s="346"/>
      <c r="X21" s="346"/>
      <c r="Y21" s="346"/>
      <c r="Z21" s="346"/>
      <c r="AA21" s="347"/>
      <c r="AB21" s="345"/>
      <c r="AC21" s="346"/>
      <c r="AD21" s="346"/>
      <c r="AE21" s="346"/>
      <c r="AF21" s="346"/>
      <c r="AG21" s="347"/>
      <c r="AH21" s="336"/>
      <c r="AI21" s="337"/>
      <c r="AJ21" s="337"/>
      <c r="AK21" s="337"/>
      <c r="AL21" s="337"/>
      <c r="AM21" s="338"/>
      <c r="AN21" s="80"/>
      <c r="AO21" s="376"/>
      <c r="AP21" s="377"/>
      <c r="AQ21" s="377"/>
      <c r="AR21" s="377"/>
      <c r="AS21" s="377"/>
      <c r="AT21" s="378"/>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294"/>
      <c r="C22" s="294"/>
      <c r="D22" s="295"/>
      <c r="E22" s="351" t="s">
        <v>117</v>
      </c>
      <c r="F22" s="352"/>
      <c r="G22" s="352"/>
      <c r="H22" s="352"/>
      <c r="I22" s="353"/>
      <c r="J22" s="330" t="str">
        <f>IF(AND('Mapa final'!$H$10="Media",'Mapa final'!$L$10="Leve"),CONCATENATE("R",'Mapa final'!$A$10),"")</f>
        <v/>
      </c>
      <c r="K22" s="331"/>
      <c r="L22" s="331" t="str">
        <f>IF(AND('Mapa final'!$H$16="Media",'Mapa final'!$L$16="Leve"),CONCATENATE("R",'Mapa final'!$A$16),"")</f>
        <v/>
      </c>
      <c r="M22" s="331"/>
      <c r="N22" s="331" t="str">
        <f>IF(AND('Mapa final'!$H$22="Media",'Mapa final'!$L$22="Leve"),CONCATENATE("R",'Mapa final'!$A$22),"")</f>
        <v/>
      </c>
      <c r="O22" s="332"/>
      <c r="P22" s="330" t="str">
        <f>IF(AND('Mapa final'!$H$10="Media",'Mapa final'!$L$10="Menor"),CONCATENATE("R",'Mapa final'!$A$10),"")</f>
        <v/>
      </c>
      <c r="Q22" s="331"/>
      <c r="R22" s="331" t="str">
        <f>IF(AND('Mapa final'!$H$16="Media",'Mapa final'!$L$16="Menor"),CONCATENATE("R",'Mapa final'!$A$16),"")</f>
        <v/>
      </c>
      <c r="S22" s="331"/>
      <c r="T22" s="331" t="str">
        <f>IF(AND('Mapa final'!$H$22="Media",'Mapa final'!$L$22="Menor"),CONCATENATE("R",'Mapa final'!$A$22),"")</f>
        <v>R3</v>
      </c>
      <c r="U22" s="332"/>
      <c r="V22" s="330" t="str">
        <f>IF(AND('Mapa final'!$H$10="Media",'Mapa final'!$L$10="Moderado"),CONCATENATE("R",'Mapa final'!$A$10),"")</f>
        <v/>
      </c>
      <c r="W22" s="331"/>
      <c r="X22" s="331" t="str">
        <f>IF(AND('Mapa final'!$H$16="Media",'Mapa final'!$L$16="Moderado"),CONCATENATE("R",'Mapa final'!$A$16),"")</f>
        <v/>
      </c>
      <c r="Y22" s="331"/>
      <c r="Z22" s="331" t="str">
        <f>IF(AND('Mapa final'!$H$22="Media",'Mapa final'!$L$22="Moderado"),CONCATENATE("R",'Mapa final'!$A$22),"")</f>
        <v/>
      </c>
      <c r="AA22" s="332"/>
      <c r="AB22" s="348" t="str">
        <f>IF(AND('Mapa final'!$H$10="Media",'Mapa final'!$L$10="Mayor"),CONCATENATE("R",'Mapa final'!$A$10),"")</f>
        <v/>
      </c>
      <c r="AC22" s="349"/>
      <c r="AD22" s="349" t="str">
        <f>IF(AND('Mapa final'!$H$16="Media",'Mapa final'!$L$16="Mayor"),CONCATENATE("R",'Mapa final'!$A$16),"")</f>
        <v>R2</v>
      </c>
      <c r="AE22" s="349"/>
      <c r="AF22" s="349" t="str">
        <f>IF(AND('Mapa final'!$H$22="Media",'Mapa final'!$L$22="Mayor"),CONCATENATE("R",'Mapa final'!$A$22),"")</f>
        <v/>
      </c>
      <c r="AG22" s="350"/>
      <c r="AH22" s="339" t="str">
        <f>IF(AND('Mapa final'!$H$10="Media",'Mapa final'!$L$10="Catastrófico"),CONCATENATE("R",'Mapa final'!$A$10),"")</f>
        <v/>
      </c>
      <c r="AI22" s="340"/>
      <c r="AJ22" s="340" t="str">
        <f>IF(AND('Mapa final'!$H$16="Media",'Mapa final'!$L$16="Catastrófico"),CONCATENATE("R",'Mapa final'!$A$16),"")</f>
        <v/>
      </c>
      <c r="AK22" s="340"/>
      <c r="AL22" s="340" t="str">
        <f>IF(AND('Mapa final'!$H$22="Media",'Mapa final'!$L$22="Catastrófico"),CONCATENATE("R",'Mapa final'!$A$22),"")</f>
        <v/>
      </c>
      <c r="AM22" s="341"/>
      <c r="AN22" s="80"/>
      <c r="AO22" s="379" t="s">
        <v>81</v>
      </c>
      <c r="AP22" s="380"/>
      <c r="AQ22" s="380"/>
      <c r="AR22" s="380"/>
      <c r="AS22" s="380"/>
      <c r="AT22" s="381"/>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294"/>
      <c r="C23" s="294"/>
      <c r="D23" s="295"/>
      <c r="E23" s="354"/>
      <c r="F23" s="355"/>
      <c r="G23" s="355"/>
      <c r="H23" s="355"/>
      <c r="I23" s="356"/>
      <c r="J23" s="324"/>
      <c r="K23" s="325"/>
      <c r="L23" s="325"/>
      <c r="M23" s="325"/>
      <c r="N23" s="325"/>
      <c r="O23" s="326"/>
      <c r="P23" s="324"/>
      <c r="Q23" s="325"/>
      <c r="R23" s="325"/>
      <c r="S23" s="325"/>
      <c r="T23" s="325"/>
      <c r="U23" s="326"/>
      <c r="V23" s="324"/>
      <c r="W23" s="325"/>
      <c r="X23" s="325"/>
      <c r="Y23" s="325"/>
      <c r="Z23" s="325"/>
      <c r="AA23" s="326"/>
      <c r="AB23" s="342"/>
      <c r="AC23" s="343"/>
      <c r="AD23" s="343"/>
      <c r="AE23" s="343"/>
      <c r="AF23" s="343"/>
      <c r="AG23" s="344"/>
      <c r="AH23" s="333"/>
      <c r="AI23" s="334"/>
      <c r="AJ23" s="334"/>
      <c r="AK23" s="334"/>
      <c r="AL23" s="334"/>
      <c r="AM23" s="335"/>
      <c r="AN23" s="80"/>
      <c r="AO23" s="382"/>
      <c r="AP23" s="383"/>
      <c r="AQ23" s="383"/>
      <c r="AR23" s="383"/>
      <c r="AS23" s="383"/>
      <c r="AT23" s="384"/>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294"/>
      <c r="C24" s="294"/>
      <c r="D24" s="295"/>
      <c r="E24" s="354"/>
      <c r="F24" s="355"/>
      <c r="G24" s="355"/>
      <c r="H24" s="355"/>
      <c r="I24" s="356"/>
      <c r="J24" s="324" t="str">
        <f>IF(AND('Mapa final'!$H$28="Media",'Mapa final'!$L$28="Leve"),CONCATENATE("R",'Mapa final'!$A$28),"")</f>
        <v/>
      </c>
      <c r="K24" s="325"/>
      <c r="L24" s="325" t="str">
        <f>IF(AND('Mapa final'!$H$33="Media",'Mapa final'!$L$33="Leve"),CONCATENATE("R",'Mapa final'!$A$33),"")</f>
        <v/>
      </c>
      <c r="M24" s="325"/>
      <c r="N24" s="325" t="e">
        <f>IF(AND('Mapa final'!#REF!="Media",'Mapa final'!#REF!="Leve"),CONCATENATE("R",'Mapa final'!#REF!),"")</f>
        <v>#REF!</v>
      </c>
      <c r="O24" s="326"/>
      <c r="P24" s="324" t="str">
        <f>IF(AND('Mapa final'!$H$28="Media",'Mapa final'!$L$28="Menor"),CONCATENATE("R",'Mapa final'!$A$28),"")</f>
        <v/>
      </c>
      <c r="Q24" s="325"/>
      <c r="R24" s="325" t="str">
        <f>IF(AND('Mapa final'!$H$33="Media",'Mapa final'!$L$33="Menor"),CONCATENATE("R",'Mapa final'!$A$33),"")</f>
        <v/>
      </c>
      <c r="S24" s="325"/>
      <c r="T24" s="325" t="e">
        <f>IF(AND('Mapa final'!#REF!="Media",'Mapa final'!#REF!="Menor"),CONCATENATE("R",'Mapa final'!#REF!),"")</f>
        <v>#REF!</v>
      </c>
      <c r="U24" s="326"/>
      <c r="V24" s="324" t="str">
        <f>IF(AND('Mapa final'!$H$28="Media",'Mapa final'!$L$28="Moderado"),CONCATENATE("R",'Mapa final'!$A$28),"")</f>
        <v/>
      </c>
      <c r="W24" s="325"/>
      <c r="X24" s="325" t="str">
        <f>IF(AND('Mapa final'!$H$33="Media",'Mapa final'!$L$33="Moderado"),CONCATENATE("R",'Mapa final'!$A$33),"")</f>
        <v/>
      </c>
      <c r="Y24" s="325"/>
      <c r="Z24" s="325" t="e">
        <f>IF(AND('Mapa final'!#REF!="Media",'Mapa final'!#REF!="Moderado"),CONCATENATE("R",'Mapa final'!#REF!),"")</f>
        <v>#REF!</v>
      </c>
      <c r="AA24" s="326"/>
      <c r="AB24" s="342" t="str">
        <f>IF(AND('Mapa final'!$H$28="Media",'Mapa final'!$L$28="Mayor"),CONCATENATE("R",'Mapa final'!$A$28),"")</f>
        <v/>
      </c>
      <c r="AC24" s="343"/>
      <c r="AD24" s="343" t="str">
        <f>IF(AND('Mapa final'!$H$33="Media",'Mapa final'!$L$33="Mayor"),CONCATENATE("R",'Mapa final'!$A$33),"")</f>
        <v>R5</v>
      </c>
      <c r="AE24" s="343"/>
      <c r="AF24" s="343" t="e">
        <f>IF(AND('Mapa final'!#REF!="Media",'Mapa final'!#REF!="Mayor"),CONCATENATE("R",'Mapa final'!#REF!),"")</f>
        <v>#REF!</v>
      </c>
      <c r="AG24" s="344"/>
      <c r="AH24" s="333" t="str">
        <f>IF(AND('Mapa final'!$H$28="Media",'Mapa final'!$L$28="Catastrófico"),CONCATENATE("R",'Mapa final'!$A$28),"")</f>
        <v/>
      </c>
      <c r="AI24" s="334"/>
      <c r="AJ24" s="334" t="str">
        <f>IF(AND('Mapa final'!$H$33="Media",'Mapa final'!$L$33="Catastrófico"),CONCATENATE("R",'Mapa final'!$A$33),"")</f>
        <v/>
      </c>
      <c r="AK24" s="334"/>
      <c r="AL24" s="334" t="e">
        <f>IF(AND('Mapa final'!#REF!="Media",'Mapa final'!#REF!="Catastrófico"),CONCATENATE("R",'Mapa final'!#REF!),"")</f>
        <v>#REF!</v>
      </c>
      <c r="AM24" s="335"/>
      <c r="AN24" s="80"/>
      <c r="AO24" s="382"/>
      <c r="AP24" s="383"/>
      <c r="AQ24" s="383"/>
      <c r="AR24" s="383"/>
      <c r="AS24" s="383"/>
      <c r="AT24" s="384"/>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294"/>
      <c r="C25" s="294"/>
      <c r="D25" s="295"/>
      <c r="E25" s="354"/>
      <c r="F25" s="355"/>
      <c r="G25" s="355"/>
      <c r="H25" s="355"/>
      <c r="I25" s="356"/>
      <c r="J25" s="324"/>
      <c r="K25" s="325"/>
      <c r="L25" s="325"/>
      <c r="M25" s="325"/>
      <c r="N25" s="325"/>
      <c r="O25" s="326"/>
      <c r="P25" s="324"/>
      <c r="Q25" s="325"/>
      <c r="R25" s="325"/>
      <c r="S25" s="325"/>
      <c r="T25" s="325"/>
      <c r="U25" s="326"/>
      <c r="V25" s="324"/>
      <c r="W25" s="325"/>
      <c r="X25" s="325"/>
      <c r="Y25" s="325"/>
      <c r="Z25" s="325"/>
      <c r="AA25" s="326"/>
      <c r="AB25" s="342"/>
      <c r="AC25" s="343"/>
      <c r="AD25" s="343"/>
      <c r="AE25" s="343"/>
      <c r="AF25" s="343"/>
      <c r="AG25" s="344"/>
      <c r="AH25" s="333"/>
      <c r="AI25" s="334"/>
      <c r="AJ25" s="334"/>
      <c r="AK25" s="334"/>
      <c r="AL25" s="334"/>
      <c r="AM25" s="335"/>
      <c r="AN25" s="80"/>
      <c r="AO25" s="382"/>
      <c r="AP25" s="383"/>
      <c r="AQ25" s="383"/>
      <c r="AR25" s="383"/>
      <c r="AS25" s="383"/>
      <c r="AT25" s="384"/>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294"/>
      <c r="C26" s="294"/>
      <c r="D26" s="295"/>
      <c r="E26" s="354"/>
      <c r="F26" s="355"/>
      <c r="G26" s="355"/>
      <c r="H26" s="355"/>
      <c r="I26" s="356"/>
      <c r="J26" s="324" t="str">
        <f>IF(AND('Mapa final'!$H$39="Media",'Mapa final'!$L$39="Leve"),CONCATENATE("R",'Mapa final'!$A$39),"")</f>
        <v/>
      </c>
      <c r="K26" s="325"/>
      <c r="L26" s="325" t="str">
        <f>IF(AND('Mapa final'!$H$45="Media",'Mapa final'!$L$45="Leve"),CONCATENATE("R",'Mapa final'!$A$45),"")</f>
        <v/>
      </c>
      <c r="M26" s="325"/>
      <c r="N26" s="325" t="str">
        <f>IF(AND('Mapa final'!$H$51="Media",'Mapa final'!$L$51="Leve"),CONCATENATE("R",'Mapa final'!$A$51),"")</f>
        <v/>
      </c>
      <c r="O26" s="326"/>
      <c r="P26" s="324" t="str">
        <f>IF(AND('Mapa final'!$H$39="Media",'Mapa final'!$L$39="Menor"),CONCATENATE("R",'Mapa final'!$A$39),"")</f>
        <v/>
      </c>
      <c r="Q26" s="325"/>
      <c r="R26" s="325" t="str">
        <f>IF(AND('Mapa final'!$H$45="Media",'Mapa final'!$L$45="Menor"),CONCATENATE("R",'Mapa final'!$A$45),"")</f>
        <v/>
      </c>
      <c r="S26" s="325"/>
      <c r="T26" s="325" t="str">
        <f>IF(AND('Mapa final'!$H$51="Media",'Mapa final'!$L$51="Menor"),CONCATENATE("R",'Mapa final'!$A$51),"")</f>
        <v/>
      </c>
      <c r="U26" s="326"/>
      <c r="V26" s="324" t="str">
        <f>IF(AND('Mapa final'!$H$39="Media",'Mapa final'!$L$39="Moderado"),CONCATENATE("R",'Mapa final'!$A$39),"")</f>
        <v/>
      </c>
      <c r="W26" s="325"/>
      <c r="X26" s="325" t="str">
        <f>IF(AND('Mapa final'!$H$45="Media",'Mapa final'!$L$45="Moderado"),CONCATENATE("R",'Mapa final'!$A$45),"")</f>
        <v/>
      </c>
      <c r="Y26" s="325"/>
      <c r="Z26" s="325" t="str">
        <f>IF(AND('Mapa final'!$H$51="Media",'Mapa final'!$L$51="Moderado"),CONCATENATE("R",'Mapa final'!$A$51),"")</f>
        <v/>
      </c>
      <c r="AA26" s="326"/>
      <c r="AB26" s="342" t="str">
        <f>IF(AND('Mapa final'!$H$39="Media",'Mapa final'!$L$39="Mayor"),CONCATENATE("R",'Mapa final'!$A$39),"")</f>
        <v/>
      </c>
      <c r="AC26" s="343"/>
      <c r="AD26" s="343" t="str">
        <f>IF(AND('Mapa final'!$H$45="Media",'Mapa final'!$L$45="Mayor"),CONCATENATE("R",'Mapa final'!$A$45),"")</f>
        <v/>
      </c>
      <c r="AE26" s="343"/>
      <c r="AF26" s="343" t="str">
        <f>IF(AND('Mapa final'!$H$51="Media",'Mapa final'!$L$51="Mayor"),CONCATENATE("R",'Mapa final'!$A$51),"")</f>
        <v/>
      </c>
      <c r="AG26" s="344"/>
      <c r="AH26" s="333" t="str">
        <f>IF(AND('Mapa final'!$H$39="Media",'Mapa final'!$L$39="Catastrófico"),CONCATENATE("R",'Mapa final'!$A$39),"")</f>
        <v/>
      </c>
      <c r="AI26" s="334"/>
      <c r="AJ26" s="334" t="str">
        <f>IF(AND('Mapa final'!$H$45="Media",'Mapa final'!$L$45="Catastrófico"),CONCATENATE("R",'Mapa final'!$A$45),"")</f>
        <v/>
      </c>
      <c r="AK26" s="334"/>
      <c r="AL26" s="334" t="str">
        <f>IF(AND('Mapa final'!$H$51="Media",'Mapa final'!$L$51="Catastrófico"),CONCATENATE("R",'Mapa final'!$A$51),"")</f>
        <v/>
      </c>
      <c r="AM26" s="335"/>
      <c r="AN26" s="80"/>
      <c r="AO26" s="382"/>
      <c r="AP26" s="383"/>
      <c r="AQ26" s="383"/>
      <c r="AR26" s="383"/>
      <c r="AS26" s="383"/>
      <c r="AT26" s="384"/>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294"/>
      <c r="C27" s="294"/>
      <c r="D27" s="295"/>
      <c r="E27" s="354"/>
      <c r="F27" s="355"/>
      <c r="G27" s="355"/>
      <c r="H27" s="355"/>
      <c r="I27" s="356"/>
      <c r="J27" s="324"/>
      <c r="K27" s="325"/>
      <c r="L27" s="325"/>
      <c r="M27" s="325"/>
      <c r="N27" s="325"/>
      <c r="O27" s="326"/>
      <c r="P27" s="324"/>
      <c r="Q27" s="325"/>
      <c r="R27" s="325"/>
      <c r="S27" s="325"/>
      <c r="T27" s="325"/>
      <c r="U27" s="326"/>
      <c r="V27" s="324"/>
      <c r="W27" s="325"/>
      <c r="X27" s="325"/>
      <c r="Y27" s="325"/>
      <c r="Z27" s="325"/>
      <c r="AA27" s="326"/>
      <c r="AB27" s="342"/>
      <c r="AC27" s="343"/>
      <c r="AD27" s="343"/>
      <c r="AE27" s="343"/>
      <c r="AF27" s="343"/>
      <c r="AG27" s="344"/>
      <c r="AH27" s="333"/>
      <c r="AI27" s="334"/>
      <c r="AJ27" s="334"/>
      <c r="AK27" s="334"/>
      <c r="AL27" s="334"/>
      <c r="AM27" s="335"/>
      <c r="AN27" s="80"/>
      <c r="AO27" s="382"/>
      <c r="AP27" s="383"/>
      <c r="AQ27" s="383"/>
      <c r="AR27" s="383"/>
      <c r="AS27" s="383"/>
      <c r="AT27" s="384"/>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294"/>
      <c r="C28" s="294"/>
      <c r="D28" s="295"/>
      <c r="E28" s="354"/>
      <c r="F28" s="355"/>
      <c r="G28" s="355"/>
      <c r="H28" s="355"/>
      <c r="I28" s="356"/>
      <c r="J28" s="324" t="str">
        <f>IF(AND('Mapa final'!$H$57="Media",'Mapa final'!$L$57="Leve"),CONCATENATE("R",'Mapa final'!$A$57),"")</f>
        <v/>
      </c>
      <c r="K28" s="325"/>
      <c r="L28" s="325" t="str">
        <f>IF(AND('Mapa final'!$H$63="Media",'Mapa final'!$L$63="Leve"),CONCATENATE("R",'Mapa final'!$A$63),"")</f>
        <v/>
      </c>
      <c r="M28" s="325"/>
      <c r="N28" s="325" t="str">
        <f>IF(AND('Mapa final'!$H$69="Media",'Mapa final'!$L$69="Leve"),CONCATENATE("R",'Mapa final'!$A$69),"")</f>
        <v/>
      </c>
      <c r="O28" s="326"/>
      <c r="P28" s="324" t="str">
        <f>IF(AND('Mapa final'!$H$57="Media",'Mapa final'!$L$57="Menor"),CONCATENATE("R",'Mapa final'!$A$57),"")</f>
        <v/>
      </c>
      <c r="Q28" s="325"/>
      <c r="R28" s="325" t="str">
        <f>IF(AND('Mapa final'!$H$63="Media",'Mapa final'!$L$63="Menor"),CONCATENATE("R",'Mapa final'!$A$63),"")</f>
        <v/>
      </c>
      <c r="S28" s="325"/>
      <c r="T28" s="325" t="str">
        <f>IF(AND('Mapa final'!$H$69="Media",'Mapa final'!$L$69="Menor"),CONCATENATE("R",'Mapa final'!$A$69),"")</f>
        <v/>
      </c>
      <c r="U28" s="326"/>
      <c r="V28" s="324" t="str">
        <f>IF(AND('Mapa final'!$H$57="Media",'Mapa final'!$L$57="Moderado"),CONCATENATE("R",'Mapa final'!$A$57),"")</f>
        <v/>
      </c>
      <c r="W28" s="325"/>
      <c r="X28" s="325" t="str">
        <f>IF(AND('Mapa final'!$H$63="Media",'Mapa final'!$L$63="Moderado"),CONCATENATE("R",'Mapa final'!$A$63),"")</f>
        <v/>
      </c>
      <c r="Y28" s="325"/>
      <c r="Z28" s="325" t="str">
        <f>IF(AND('Mapa final'!$H$69="Media",'Mapa final'!$L$69="Moderado"),CONCATENATE("R",'Mapa final'!$A$69),"")</f>
        <v/>
      </c>
      <c r="AA28" s="326"/>
      <c r="AB28" s="342" t="str">
        <f>IF(AND('Mapa final'!$H$57="Media",'Mapa final'!$L$57="Mayor"),CONCATENATE("R",'Mapa final'!$A$57),"")</f>
        <v/>
      </c>
      <c r="AC28" s="343"/>
      <c r="AD28" s="343" t="str">
        <f>IF(AND('Mapa final'!$H$63="Media",'Mapa final'!$L$63="Mayor"),CONCATENATE("R",'Mapa final'!$A$63),"")</f>
        <v/>
      </c>
      <c r="AE28" s="343"/>
      <c r="AF28" s="343" t="str">
        <f>IF(AND('Mapa final'!$H$69="Media",'Mapa final'!$L$69="Mayor"),CONCATENATE("R",'Mapa final'!$A$69),"")</f>
        <v/>
      </c>
      <c r="AG28" s="344"/>
      <c r="AH28" s="333" t="str">
        <f>IF(AND('Mapa final'!$H$57="Media",'Mapa final'!$L$57="Catastrófico"),CONCATENATE("R",'Mapa final'!$A$57),"")</f>
        <v/>
      </c>
      <c r="AI28" s="334"/>
      <c r="AJ28" s="334" t="str">
        <f>IF(AND('Mapa final'!$H$63="Media",'Mapa final'!$L$63="Catastrófico"),CONCATENATE("R",'Mapa final'!$A$63),"")</f>
        <v/>
      </c>
      <c r="AK28" s="334"/>
      <c r="AL28" s="334" t="str">
        <f>IF(AND('Mapa final'!$H$69="Media",'Mapa final'!$L$69="Catastrófico"),CONCATENATE("R",'Mapa final'!$A$69),"")</f>
        <v/>
      </c>
      <c r="AM28" s="335"/>
      <c r="AN28" s="80"/>
      <c r="AO28" s="382"/>
      <c r="AP28" s="383"/>
      <c r="AQ28" s="383"/>
      <c r="AR28" s="383"/>
      <c r="AS28" s="383"/>
      <c r="AT28" s="384"/>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294"/>
      <c r="C29" s="294"/>
      <c r="D29" s="295"/>
      <c r="E29" s="357"/>
      <c r="F29" s="358"/>
      <c r="G29" s="358"/>
      <c r="H29" s="358"/>
      <c r="I29" s="359"/>
      <c r="J29" s="324"/>
      <c r="K29" s="325"/>
      <c r="L29" s="325"/>
      <c r="M29" s="325"/>
      <c r="N29" s="325"/>
      <c r="O29" s="326"/>
      <c r="P29" s="327"/>
      <c r="Q29" s="328"/>
      <c r="R29" s="328"/>
      <c r="S29" s="328"/>
      <c r="T29" s="328"/>
      <c r="U29" s="329"/>
      <c r="V29" s="327"/>
      <c r="W29" s="328"/>
      <c r="X29" s="328"/>
      <c r="Y29" s="328"/>
      <c r="Z29" s="328"/>
      <c r="AA29" s="329"/>
      <c r="AB29" s="345"/>
      <c r="AC29" s="346"/>
      <c r="AD29" s="346"/>
      <c r="AE29" s="346"/>
      <c r="AF29" s="346"/>
      <c r="AG29" s="347"/>
      <c r="AH29" s="336"/>
      <c r="AI29" s="337"/>
      <c r="AJ29" s="337"/>
      <c r="AK29" s="337"/>
      <c r="AL29" s="337"/>
      <c r="AM29" s="338"/>
      <c r="AN29" s="80"/>
      <c r="AO29" s="385"/>
      <c r="AP29" s="386"/>
      <c r="AQ29" s="386"/>
      <c r="AR29" s="386"/>
      <c r="AS29" s="386"/>
      <c r="AT29" s="387"/>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294"/>
      <c r="C30" s="294"/>
      <c r="D30" s="295"/>
      <c r="E30" s="351" t="s">
        <v>114</v>
      </c>
      <c r="F30" s="352"/>
      <c r="G30" s="352"/>
      <c r="H30" s="352"/>
      <c r="I30" s="352"/>
      <c r="J30" s="321" t="str">
        <f>IF(AND('Mapa final'!$H$10="Baja",'Mapa final'!$L$10="Leve"),CONCATENATE("R",'Mapa final'!$A$10),"")</f>
        <v/>
      </c>
      <c r="K30" s="322"/>
      <c r="L30" s="322" t="str">
        <f>IF(AND('Mapa final'!$H$16="Baja",'Mapa final'!$L$16="Leve"),CONCATENATE("R",'Mapa final'!$A$16),"")</f>
        <v/>
      </c>
      <c r="M30" s="322"/>
      <c r="N30" s="322" t="str">
        <f>IF(AND('Mapa final'!$H$22="Baja",'Mapa final'!$L$22="Leve"),CONCATENATE("R",'Mapa final'!$A$22),"")</f>
        <v/>
      </c>
      <c r="O30" s="323"/>
      <c r="P30" s="331" t="str">
        <f>IF(AND('Mapa final'!$H$10="Baja",'Mapa final'!$L$10="Menor"),CONCATENATE("R",'Mapa final'!$A$10),"")</f>
        <v/>
      </c>
      <c r="Q30" s="331"/>
      <c r="R30" s="331" t="str">
        <f>IF(AND('Mapa final'!$H$16="Baja",'Mapa final'!$L$16="Menor"),CONCATENATE("R",'Mapa final'!$A$16),"")</f>
        <v/>
      </c>
      <c r="S30" s="331"/>
      <c r="T30" s="331" t="str">
        <f>IF(AND('Mapa final'!$H$22="Baja",'Mapa final'!$L$22="Menor"),CONCATENATE("R",'Mapa final'!$A$22),"")</f>
        <v/>
      </c>
      <c r="U30" s="332"/>
      <c r="V30" s="330" t="str">
        <f>IF(AND('Mapa final'!$H$10="Baja",'Mapa final'!$L$10="Moderado"),CONCATENATE("R",'Mapa final'!$A$10),"")</f>
        <v/>
      </c>
      <c r="W30" s="331"/>
      <c r="X30" s="331" t="str">
        <f>IF(AND('Mapa final'!$H$16="Baja",'Mapa final'!$L$16="Moderado"),CONCATENATE("R",'Mapa final'!$A$16),"")</f>
        <v/>
      </c>
      <c r="Y30" s="331"/>
      <c r="Z30" s="331" t="str">
        <f>IF(AND('Mapa final'!$H$22="Baja",'Mapa final'!$L$22="Moderado"),CONCATENATE("R",'Mapa final'!$A$22),"")</f>
        <v/>
      </c>
      <c r="AA30" s="332"/>
      <c r="AB30" s="348" t="str">
        <f>IF(AND('Mapa final'!$H$10="Baja",'Mapa final'!$L$10="Mayor"),CONCATENATE("R",'Mapa final'!$A$10),"")</f>
        <v/>
      </c>
      <c r="AC30" s="349"/>
      <c r="AD30" s="349" t="str">
        <f>IF(AND('Mapa final'!$H$16="Baja",'Mapa final'!$L$16="Mayor"),CONCATENATE("R",'Mapa final'!$A$16),"")</f>
        <v/>
      </c>
      <c r="AE30" s="349"/>
      <c r="AF30" s="349" t="str">
        <f>IF(AND('Mapa final'!$H$22="Baja",'Mapa final'!$L$22="Mayor"),CONCATENATE("R",'Mapa final'!$A$22),"")</f>
        <v/>
      </c>
      <c r="AG30" s="350"/>
      <c r="AH30" s="339" t="str">
        <f>IF(AND('Mapa final'!$H$10="Baja",'Mapa final'!$L$10="Catastrófico"),CONCATENATE("R",'Mapa final'!$A$10),"")</f>
        <v/>
      </c>
      <c r="AI30" s="340"/>
      <c r="AJ30" s="340" t="str">
        <f>IF(AND('Mapa final'!$H$16="Baja",'Mapa final'!$L$16="Catastrófico"),CONCATENATE("R",'Mapa final'!$A$16),"")</f>
        <v/>
      </c>
      <c r="AK30" s="340"/>
      <c r="AL30" s="340" t="str">
        <f>IF(AND('Mapa final'!$H$22="Baja",'Mapa final'!$L$22="Catastrófico"),CONCATENATE("R",'Mapa final'!$A$22),"")</f>
        <v/>
      </c>
      <c r="AM30" s="341"/>
      <c r="AN30" s="80"/>
      <c r="AO30" s="388" t="s">
        <v>82</v>
      </c>
      <c r="AP30" s="389"/>
      <c r="AQ30" s="389"/>
      <c r="AR30" s="389"/>
      <c r="AS30" s="389"/>
      <c r="AT30" s="39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294"/>
      <c r="C31" s="294"/>
      <c r="D31" s="295"/>
      <c r="E31" s="354"/>
      <c r="F31" s="355"/>
      <c r="G31" s="355"/>
      <c r="H31" s="355"/>
      <c r="I31" s="355"/>
      <c r="J31" s="315"/>
      <c r="K31" s="316"/>
      <c r="L31" s="316"/>
      <c r="M31" s="316"/>
      <c r="N31" s="316"/>
      <c r="O31" s="317"/>
      <c r="P31" s="325"/>
      <c r="Q31" s="325"/>
      <c r="R31" s="325"/>
      <c r="S31" s="325"/>
      <c r="T31" s="325"/>
      <c r="U31" s="326"/>
      <c r="V31" s="324"/>
      <c r="W31" s="325"/>
      <c r="X31" s="325"/>
      <c r="Y31" s="325"/>
      <c r="Z31" s="325"/>
      <c r="AA31" s="326"/>
      <c r="AB31" s="342"/>
      <c r="AC31" s="343"/>
      <c r="AD31" s="343"/>
      <c r="AE31" s="343"/>
      <c r="AF31" s="343"/>
      <c r="AG31" s="344"/>
      <c r="AH31" s="333"/>
      <c r="AI31" s="334"/>
      <c r="AJ31" s="334"/>
      <c r="AK31" s="334"/>
      <c r="AL31" s="334"/>
      <c r="AM31" s="335"/>
      <c r="AN31" s="80"/>
      <c r="AO31" s="391"/>
      <c r="AP31" s="392"/>
      <c r="AQ31" s="392"/>
      <c r="AR31" s="392"/>
      <c r="AS31" s="392"/>
      <c r="AT31" s="393"/>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294"/>
      <c r="C32" s="294"/>
      <c r="D32" s="295"/>
      <c r="E32" s="354"/>
      <c r="F32" s="355"/>
      <c r="G32" s="355"/>
      <c r="H32" s="355"/>
      <c r="I32" s="355"/>
      <c r="J32" s="315" t="str">
        <f>IF(AND('Mapa final'!$H$28="Baja",'Mapa final'!$L$28="Leve"),CONCATENATE("R",'Mapa final'!$A$28),"")</f>
        <v/>
      </c>
      <c r="K32" s="316"/>
      <c r="L32" s="316" t="str">
        <f>IF(AND('Mapa final'!$H$33="Baja",'Mapa final'!$L$33="Leve"),CONCATENATE("R",'Mapa final'!$A$33),"")</f>
        <v/>
      </c>
      <c r="M32" s="316"/>
      <c r="N32" s="316" t="e">
        <f>IF(AND('Mapa final'!#REF!="Baja",'Mapa final'!#REF!="Leve"),CONCATENATE("R",'Mapa final'!#REF!),"")</f>
        <v>#REF!</v>
      </c>
      <c r="O32" s="317"/>
      <c r="P32" s="325" t="str">
        <f>IF(AND('Mapa final'!$H$28="Baja",'Mapa final'!$L$28="Menor"),CONCATENATE("R",'Mapa final'!$A$28),"")</f>
        <v/>
      </c>
      <c r="Q32" s="325"/>
      <c r="R32" s="325" t="str">
        <f>IF(AND('Mapa final'!$H$33="Baja",'Mapa final'!$L$33="Menor"),CONCATENATE("R",'Mapa final'!$A$33),"")</f>
        <v/>
      </c>
      <c r="S32" s="325"/>
      <c r="T32" s="325" t="e">
        <f>IF(AND('Mapa final'!#REF!="Baja",'Mapa final'!#REF!="Menor"),CONCATENATE("R",'Mapa final'!#REF!),"")</f>
        <v>#REF!</v>
      </c>
      <c r="U32" s="326"/>
      <c r="V32" s="324" t="str">
        <f>IF(AND('Mapa final'!$H$28="Baja",'Mapa final'!$L$28="Moderado"),CONCATENATE("R",'Mapa final'!$A$28),"")</f>
        <v>R4</v>
      </c>
      <c r="W32" s="325"/>
      <c r="X32" s="325" t="str">
        <f>IF(AND('Mapa final'!$H$33="Baja",'Mapa final'!$L$33="Moderado"),CONCATENATE("R",'Mapa final'!$A$33),"")</f>
        <v/>
      </c>
      <c r="Y32" s="325"/>
      <c r="Z32" s="325" t="e">
        <f>IF(AND('Mapa final'!#REF!="Baja",'Mapa final'!#REF!="Moderado"),CONCATENATE("R",'Mapa final'!#REF!),"")</f>
        <v>#REF!</v>
      </c>
      <c r="AA32" s="326"/>
      <c r="AB32" s="342" t="str">
        <f>IF(AND('Mapa final'!$H$28="Baja",'Mapa final'!$L$28="Mayor"),CONCATENATE("R",'Mapa final'!$A$28),"")</f>
        <v/>
      </c>
      <c r="AC32" s="343"/>
      <c r="AD32" s="343" t="str">
        <f>IF(AND('Mapa final'!$H$33="Baja",'Mapa final'!$L$33="Mayor"),CONCATENATE("R",'Mapa final'!$A$33),"")</f>
        <v/>
      </c>
      <c r="AE32" s="343"/>
      <c r="AF32" s="343" t="e">
        <f>IF(AND('Mapa final'!#REF!="Baja",'Mapa final'!#REF!="Mayor"),CONCATENATE("R",'Mapa final'!#REF!),"")</f>
        <v>#REF!</v>
      </c>
      <c r="AG32" s="344"/>
      <c r="AH32" s="333" t="str">
        <f>IF(AND('Mapa final'!$H$28="Baja",'Mapa final'!$L$28="Catastrófico"),CONCATENATE("R",'Mapa final'!$A$28),"")</f>
        <v/>
      </c>
      <c r="AI32" s="334"/>
      <c r="AJ32" s="334" t="str">
        <f>IF(AND('Mapa final'!$H$33="Baja",'Mapa final'!$L$33="Catastrófico"),CONCATENATE("R",'Mapa final'!$A$33),"")</f>
        <v/>
      </c>
      <c r="AK32" s="334"/>
      <c r="AL32" s="334" t="e">
        <f>IF(AND('Mapa final'!#REF!="Baja",'Mapa final'!#REF!="Catastrófico"),CONCATENATE("R",'Mapa final'!#REF!),"")</f>
        <v>#REF!</v>
      </c>
      <c r="AM32" s="335"/>
      <c r="AN32" s="80"/>
      <c r="AO32" s="391"/>
      <c r="AP32" s="392"/>
      <c r="AQ32" s="392"/>
      <c r="AR32" s="392"/>
      <c r="AS32" s="392"/>
      <c r="AT32" s="393"/>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294"/>
      <c r="C33" s="294"/>
      <c r="D33" s="295"/>
      <c r="E33" s="354"/>
      <c r="F33" s="355"/>
      <c r="G33" s="355"/>
      <c r="H33" s="355"/>
      <c r="I33" s="355"/>
      <c r="J33" s="315"/>
      <c r="K33" s="316"/>
      <c r="L33" s="316"/>
      <c r="M33" s="316"/>
      <c r="N33" s="316"/>
      <c r="O33" s="317"/>
      <c r="P33" s="325"/>
      <c r="Q33" s="325"/>
      <c r="R33" s="325"/>
      <c r="S33" s="325"/>
      <c r="T33" s="325"/>
      <c r="U33" s="326"/>
      <c r="V33" s="324"/>
      <c r="W33" s="325"/>
      <c r="X33" s="325"/>
      <c r="Y33" s="325"/>
      <c r="Z33" s="325"/>
      <c r="AA33" s="326"/>
      <c r="AB33" s="342"/>
      <c r="AC33" s="343"/>
      <c r="AD33" s="343"/>
      <c r="AE33" s="343"/>
      <c r="AF33" s="343"/>
      <c r="AG33" s="344"/>
      <c r="AH33" s="333"/>
      <c r="AI33" s="334"/>
      <c r="AJ33" s="334"/>
      <c r="AK33" s="334"/>
      <c r="AL33" s="334"/>
      <c r="AM33" s="335"/>
      <c r="AN33" s="80"/>
      <c r="AO33" s="391"/>
      <c r="AP33" s="392"/>
      <c r="AQ33" s="392"/>
      <c r="AR33" s="392"/>
      <c r="AS33" s="392"/>
      <c r="AT33" s="393"/>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294"/>
      <c r="C34" s="294"/>
      <c r="D34" s="295"/>
      <c r="E34" s="354"/>
      <c r="F34" s="355"/>
      <c r="G34" s="355"/>
      <c r="H34" s="355"/>
      <c r="I34" s="355"/>
      <c r="J34" s="315" t="str">
        <f>IF(AND('Mapa final'!$H$39="Baja",'Mapa final'!$L$39="Leve"),CONCATENATE("R",'Mapa final'!$A$39),"")</f>
        <v/>
      </c>
      <c r="K34" s="316"/>
      <c r="L34" s="316" t="str">
        <f>IF(AND('Mapa final'!$H$45="Baja",'Mapa final'!$L$45="Leve"),CONCATENATE("R",'Mapa final'!$A$45),"")</f>
        <v/>
      </c>
      <c r="M34" s="316"/>
      <c r="N34" s="316" t="str">
        <f>IF(AND('Mapa final'!$H$51="Baja",'Mapa final'!$L$51="Leve"),CONCATENATE("R",'Mapa final'!$A$51),"")</f>
        <v/>
      </c>
      <c r="O34" s="317"/>
      <c r="P34" s="325" t="str">
        <f>IF(AND('Mapa final'!$H$39="Baja",'Mapa final'!$L$39="Menor"),CONCATENATE("R",'Mapa final'!$A$39),"")</f>
        <v/>
      </c>
      <c r="Q34" s="325"/>
      <c r="R34" s="325" t="str">
        <f>IF(AND('Mapa final'!$H$45="Baja",'Mapa final'!$L$45="Menor"),CONCATENATE("R",'Mapa final'!$A$45),"")</f>
        <v/>
      </c>
      <c r="S34" s="325"/>
      <c r="T34" s="325" t="str">
        <f>IF(AND('Mapa final'!$H$51="Baja",'Mapa final'!$L$51="Menor"),CONCATENATE("R",'Mapa final'!$A$51),"")</f>
        <v/>
      </c>
      <c r="U34" s="326"/>
      <c r="V34" s="324" t="str">
        <f>IF(AND('Mapa final'!$H$39="Baja",'Mapa final'!$L$39="Moderado"),CONCATENATE("R",'Mapa final'!$A$39),"")</f>
        <v/>
      </c>
      <c r="W34" s="325"/>
      <c r="X34" s="325" t="str">
        <f>IF(AND('Mapa final'!$H$45="Baja",'Mapa final'!$L$45="Moderado"),CONCATENATE("R",'Mapa final'!$A$45),"")</f>
        <v/>
      </c>
      <c r="Y34" s="325"/>
      <c r="Z34" s="325" t="str">
        <f>IF(AND('Mapa final'!$H$51="Baja",'Mapa final'!$L$51="Moderado"),CONCATENATE("R",'Mapa final'!$A$51),"")</f>
        <v/>
      </c>
      <c r="AA34" s="326"/>
      <c r="AB34" s="342" t="str">
        <f>IF(AND('Mapa final'!$H$39="Baja",'Mapa final'!$L$39="Mayor"),CONCATENATE("R",'Mapa final'!$A$39),"")</f>
        <v/>
      </c>
      <c r="AC34" s="343"/>
      <c r="AD34" s="343" t="str">
        <f>IF(AND('Mapa final'!$H$45="Baja",'Mapa final'!$L$45="Mayor"),CONCATENATE("R",'Mapa final'!$A$45),"")</f>
        <v/>
      </c>
      <c r="AE34" s="343"/>
      <c r="AF34" s="343" t="str">
        <f>IF(AND('Mapa final'!$H$51="Baja",'Mapa final'!$L$51="Mayor"),CONCATENATE("R",'Mapa final'!$A$51),"")</f>
        <v/>
      </c>
      <c r="AG34" s="344"/>
      <c r="AH34" s="333" t="str">
        <f>IF(AND('Mapa final'!$H$39="Baja",'Mapa final'!$L$39="Catastrófico"),CONCATENATE("R",'Mapa final'!$A$39),"")</f>
        <v/>
      </c>
      <c r="AI34" s="334"/>
      <c r="AJ34" s="334" t="str">
        <f>IF(AND('Mapa final'!$H$45="Baja",'Mapa final'!$L$45="Catastrófico"),CONCATENATE("R",'Mapa final'!$A$45),"")</f>
        <v/>
      </c>
      <c r="AK34" s="334"/>
      <c r="AL34" s="334" t="str">
        <f>IF(AND('Mapa final'!$H$51="Baja",'Mapa final'!$L$51="Catastrófico"),CONCATENATE("R",'Mapa final'!$A$51),"")</f>
        <v/>
      </c>
      <c r="AM34" s="335"/>
      <c r="AN34" s="80"/>
      <c r="AO34" s="391"/>
      <c r="AP34" s="392"/>
      <c r="AQ34" s="392"/>
      <c r="AR34" s="392"/>
      <c r="AS34" s="392"/>
      <c r="AT34" s="393"/>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294"/>
      <c r="C35" s="294"/>
      <c r="D35" s="295"/>
      <c r="E35" s="354"/>
      <c r="F35" s="355"/>
      <c r="G35" s="355"/>
      <c r="H35" s="355"/>
      <c r="I35" s="355"/>
      <c r="J35" s="315"/>
      <c r="K35" s="316"/>
      <c r="L35" s="316"/>
      <c r="M35" s="316"/>
      <c r="N35" s="316"/>
      <c r="O35" s="317"/>
      <c r="P35" s="325"/>
      <c r="Q35" s="325"/>
      <c r="R35" s="325"/>
      <c r="S35" s="325"/>
      <c r="T35" s="325"/>
      <c r="U35" s="326"/>
      <c r="V35" s="324"/>
      <c r="W35" s="325"/>
      <c r="X35" s="325"/>
      <c r="Y35" s="325"/>
      <c r="Z35" s="325"/>
      <c r="AA35" s="326"/>
      <c r="AB35" s="342"/>
      <c r="AC35" s="343"/>
      <c r="AD35" s="343"/>
      <c r="AE35" s="343"/>
      <c r="AF35" s="343"/>
      <c r="AG35" s="344"/>
      <c r="AH35" s="333"/>
      <c r="AI35" s="334"/>
      <c r="AJ35" s="334"/>
      <c r="AK35" s="334"/>
      <c r="AL35" s="334"/>
      <c r="AM35" s="335"/>
      <c r="AN35" s="80"/>
      <c r="AO35" s="391"/>
      <c r="AP35" s="392"/>
      <c r="AQ35" s="392"/>
      <c r="AR35" s="392"/>
      <c r="AS35" s="392"/>
      <c r="AT35" s="393"/>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294"/>
      <c r="C36" s="294"/>
      <c r="D36" s="295"/>
      <c r="E36" s="354"/>
      <c r="F36" s="355"/>
      <c r="G36" s="355"/>
      <c r="H36" s="355"/>
      <c r="I36" s="355"/>
      <c r="J36" s="315" t="str">
        <f>IF(AND('Mapa final'!$H$57="Baja",'Mapa final'!$L$57="Leve"),CONCATENATE("R",'Mapa final'!$A$57),"")</f>
        <v/>
      </c>
      <c r="K36" s="316"/>
      <c r="L36" s="316" t="str">
        <f>IF(AND('Mapa final'!$H$63="Baja",'Mapa final'!$L$63="Leve"),CONCATENATE("R",'Mapa final'!$A$63),"")</f>
        <v/>
      </c>
      <c r="M36" s="316"/>
      <c r="N36" s="316" t="str">
        <f>IF(AND('Mapa final'!$H$69="Baja",'Mapa final'!$L$69="Leve"),CONCATENATE("R",'Mapa final'!$A$69),"")</f>
        <v/>
      </c>
      <c r="O36" s="317"/>
      <c r="P36" s="325" t="str">
        <f>IF(AND('Mapa final'!$H$57="Baja",'Mapa final'!$L$57="Menor"),CONCATENATE("R",'Mapa final'!$A$57),"")</f>
        <v/>
      </c>
      <c r="Q36" s="325"/>
      <c r="R36" s="325" t="str">
        <f>IF(AND('Mapa final'!$H$63="Baja",'Mapa final'!$L$63="Menor"),CONCATENATE("R",'Mapa final'!$A$63),"")</f>
        <v/>
      </c>
      <c r="S36" s="325"/>
      <c r="T36" s="325" t="str">
        <f>IF(AND('Mapa final'!$H$69="Baja",'Mapa final'!$L$69="Menor"),CONCATENATE("R",'Mapa final'!$A$69),"")</f>
        <v/>
      </c>
      <c r="U36" s="326"/>
      <c r="V36" s="324" t="str">
        <f>IF(AND('Mapa final'!$H$57="Baja",'Mapa final'!$L$57="Moderado"),CONCATENATE("R",'Mapa final'!$A$57),"")</f>
        <v/>
      </c>
      <c r="W36" s="325"/>
      <c r="X36" s="325" t="str">
        <f>IF(AND('Mapa final'!$H$63="Baja",'Mapa final'!$L$63="Moderado"),CONCATENATE("R",'Mapa final'!$A$63),"")</f>
        <v/>
      </c>
      <c r="Y36" s="325"/>
      <c r="Z36" s="325" t="str">
        <f>IF(AND('Mapa final'!$H$69="Baja",'Mapa final'!$L$69="Moderado"),CONCATENATE("R",'Mapa final'!$A$69),"")</f>
        <v/>
      </c>
      <c r="AA36" s="326"/>
      <c r="AB36" s="342" t="str">
        <f>IF(AND('Mapa final'!$H$57="Baja",'Mapa final'!$L$57="Mayor"),CONCATENATE("R",'Mapa final'!$A$57),"")</f>
        <v/>
      </c>
      <c r="AC36" s="343"/>
      <c r="AD36" s="343" t="str">
        <f>IF(AND('Mapa final'!$H$63="Baja",'Mapa final'!$L$63="Mayor"),CONCATENATE("R",'Mapa final'!$A$63),"")</f>
        <v/>
      </c>
      <c r="AE36" s="343"/>
      <c r="AF36" s="343" t="str">
        <f>IF(AND('Mapa final'!$H$69="Baja",'Mapa final'!$L$69="Mayor"),CONCATENATE("R",'Mapa final'!$A$69),"")</f>
        <v/>
      </c>
      <c r="AG36" s="344"/>
      <c r="AH36" s="333" t="str">
        <f>IF(AND('Mapa final'!$H$57="Baja",'Mapa final'!$L$57="Catastrófico"),CONCATENATE("R",'Mapa final'!$A$57),"")</f>
        <v/>
      </c>
      <c r="AI36" s="334"/>
      <c r="AJ36" s="334" t="str">
        <f>IF(AND('Mapa final'!$H$63="Baja",'Mapa final'!$L$63="Catastrófico"),CONCATENATE("R",'Mapa final'!$A$63),"")</f>
        <v/>
      </c>
      <c r="AK36" s="334"/>
      <c r="AL36" s="334" t="str">
        <f>IF(AND('Mapa final'!$H$69="Baja",'Mapa final'!$L$69="Catastrófico"),CONCATENATE("R",'Mapa final'!$A$69),"")</f>
        <v/>
      </c>
      <c r="AM36" s="335"/>
      <c r="AN36" s="80"/>
      <c r="AO36" s="391"/>
      <c r="AP36" s="392"/>
      <c r="AQ36" s="392"/>
      <c r="AR36" s="392"/>
      <c r="AS36" s="392"/>
      <c r="AT36" s="393"/>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294"/>
      <c r="C37" s="294"/>
      <c r="D37" s="295"/>
      <c r="E37" s="357"/>
      <c r="F37" s="358"/>
      <c r="G37" s="358"/>
      <c r="H37" s="358"/>
      <c r="I37" s="358"/>
      <c r="J37" s="318"/>
      <c r="K37" s="319"/>
      <c r="L37" s="319"/>
      <c r="M37" s="319"/>
      <c r="N37" s="319"/>
      <c r="O37" s="320"/>
      <c r="P37" s="328"/>
      <c r="Q37" s="328"/>
      <c r="R37" s="328"/>
      <c r="S37" s="328"/>
      <c r="T37" s="328"/>
      <c r="U37" s="329"/>
      <c r="V37" s="327"/>
      <c r="W37" s="328"/>
      <c r="X37" s="328"/>
      <c r="Y37" s="328"/>
      <c r="Z37" s="328"/>
      <c r="AA37" s="329"/>
      <c r="AB37" s="345"/>
      <c r="AC37" s="346"/>
      <c r="AD37" s="346"/>
      <c r="AE37" s="346"/>
      <c r="AF37" s="346"/>
      <c r="AG37" s="347"/>
      <c r="AH37" s="336"/>
      <c r="AI37" s="337"/>
      <c r="AJ37" s="337"/>
      <c r="AK37" s="337"/>
      <c r="AL37" s="337"/>
      <c r="AM37" s="338"/>
      <c r="AN37" s="80"/>
      <c r="AO37" s="394"/>
      <c r="AP37" s="395"/>
      <c r="AQ37" s="395"/>
      <c r="AR37" s="395"/>
      <c r="AS37" s="395"/>
      <c r="AT37" s="396"/>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294"/>
      <c r="C38" s="294"/>
      <c r="D38" s="295"/>
      <c r="E38" s="351" t="s">
        <v>113</v>
      </c>
      <c r="F38" s="352"/>
      <c r="G38" s="352"/>
      <c r="H38" s="352"/>
      <c r="I38" s="353"/>
      <c r="J38" s="321" t="str">
        <f>IF(AND('Mapa final'!$H$10="Muy Baja",'Mapa final'!$L$10="Leve"),CONCATENATE("R",'Mapa final'!$A$10),"")</f>
        <v/>
      </c>
      <c r="K38" s="322"/>
      <c r="L38" s="322" t="str">
        <f>IF(AND('Mapa final'!$H$16="Muy Baja",'Mapa final'!$L$16="Leve"),CONCATENATE("R",'Mapa final'!$A$16),"")</f>
        <v/>
      </c>
      <c r="M38" s="322"/>
      <c r="N38" s="322" t="str">
        <f>IF(AND('Mapa final'!$H$22="Muy Baja",'Mapa final'!$L$22="Leve"),CONCATENATE("R",'Mapa final'!$A$22),"")</f>
        <v/>
      </c>
      <c r="O38" s="323"/>
      <c r="P38" s="321" t="str">
        <f>IF(AND('Mapa final'!$H$10="Muy Baja",'Mapa final'!$L$10="Menor"),CONCATENATE("R",'Mapa final'!$A$10),"")</f>
        <v/>
      </c>
      <c r="Q38" s="322"/>
      <c r="R38" s="322" t="str">
        <f>IF(AND('Mapa final'!$H$16="Muy Baja",'Mapa final'!$L$16="Menor"),CONCATENATE("R",'Mapa final'!$A$16),"")</f>
        <v/>
      </c>
      <c r="S38" s="322"/>
      <c r="T38" s="322" t="str">
        <f>IF(AND('Mapa final'!$H$22="Muy Baja",'Mapa final'!$L$22="Menor"),CONCATENATE("R",'Mapa final'!$A$22),"")</f>
        <v/>
      </c>
      <c r="U38" s="323"/>
      <c r="V38" s="330" t="str">
        <f>IF(AND('Mapa final'!$H$10="Muy Baja",'Mapa final'!$L$10="Moderado"),CONCATENATE("R",'Mapa final'!$A$10),"")</f>
        <v/>
      </c>
      <c r="W38" s="331"/>
      <c r="X38" s="331" t="str">
        <f>IF(AND('Mapa final'!$H$16="Muy Baja",'Mapa final'!$L$16="Moderado"),CONCATENATE("R",'Mapa final'!$A$16),"")</f>
        <v/>
      </c>
      <c r="Y38" s="331"/>
      <c r="Z38" s="331" t="str">
        <f>IF(AND('Mapa final'!$H$22="Muy Baja",'Mapa final'!$L$22="Moderado"),CONCATENATE("R",'Mapa final'!$A$22),"")</f>
        <v/>
      </c>
      <c r="AA38" s="332"/>
      <c r="AB38" s="348" t="str">
        <f>IF(AND('Mapa final'!$H$10="Muy Baja",'Mapa final'!$L$10="Mayor"),CONCATENATE("R",'Mapa final'!$A$10),"")</f>
        <v/>
      </c>
      <c r="AC38" s="349"/>
      <c r="AD38" s="349" t="str">
        <f>IF(AND('Mapa final'!$H$16="Muy Baja",'Mapa final'!$L$16="Mayor"),CONCATENATE("R",'Mapa final'!$A$16),"")</f>
        <v/>
      </c>
      <c r="AE38" s="349"/>
      <c r="AF38" s="349" t="str">
        <f>IF(AND('Mapa final'!$H$22="Muy Baja",'Mapa final'!$L$22="Mayor"),CONCATENATE("R",'Mapa final'!$A$22),"")</f>
        <v/>
      </c>
      <c r="AG38" s="350"/>
      <c r="AH38" s="339" t="str">
        <f>IF(AND('Mapa final'!$H$10="Muy Baja",'Mapa final'!$L$10="Catastrófico"),CONCATENATE("R",'Mapa final'!$A$10),"")</f>
        <v/>
      </c>
      <c r="AI38" s="340"/>
      <c r="AJ38" s="340" t="str">
        <f>IF(AND('Mapa final'!$H$16="Muy Baja",'Mapa final'!$L$16="Catastrófico"),CONCATENATE("R",'Mapa final'!$A$16),"")</f>
        <v/>
      </c>
      <c r="AK38" s="340"/>
      <c r="AL38" s="340" t="str">
        <f>IF(AND('Mapa final'!$H$22="Muy Baja",'Mapa final'!$L$22="Catastrófico"),CONCATENATE("R",'Mapa final'!$A$22),"")</f>
        <v/>
      </c>
      <c r="AM38" s="341"/>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294"/>
      <c r="C39" s="294"/>
      <c r="D39" s="295"/>
      <c r="E39" s="354"/>
      <c r="F39" s="355"/>
      <c r="G39" s="355"/>
      <c r="H39" s="355"/>
      <c r="I39" s="356"/>
      <c r="J39" s="315"/>
      <c r="K39" s="316"/>
      <c r="L39" s="316"/>
      <c r="M39" s="316"/>
      <c r="N39" s="316"/>
      <c r="O39" s="317"/>
      <c r="P39" s="315"/>
      <c r="Q39" s="316"/>
      <c r="R39" s="316"/>
      <c r="S39" s="316"/>
      <c r="T39" s="316"/>
      <c r="U39" s="317"/>
      <c r="V39" s="324"/>
      <c r="W39" s="325"/>
      <c r="X39" s="325"/>
      <c r="Y39" s="325"/>
      <c r="Z39" s="325"/>
      <c r="AA39" s="326"/>
      <c r="AB39" s="342"/>
      <c r="AC39" s="343"/>
      <c r="AD39" s="343"/>
      <c r="AE39" s="343"/>
      <c r="AF39" s="343"/>
      <c r="AG39" s="344"/>
      <c r="AH39" s="333"/>
      <c r="AI39" s="334"/>
      <c r="AJ39" s="334"/>
      <c r="AK39" s="334"/>
      <c r="AL39" s="334"/>
      <c r="AM39" s="335"/>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294"/>
      <c r="C40" s="294"/>
      <c r="D40" s="295"/>
      <c r="E40" s="354"/>
      <c r="F40" s="355"/>
      <c r="G40" s="355"/>
      <c r="H40" s="355"/>
      <c r="I40" s="356"/>
      <c r="J40" s="315" t="str">
        <f>IF(AND('Mapa final'!$H$28="Muy Baja",'Mapa final'!$L$28="Leve"),CONCATENATE("R",'Mapa final'!$A$28),"")</f>
        <v/>
      </c>
      <c r="K40" s="316"/>
      <c r="L40" s="316" t="str">
        <f>IF(AND('Mapa final'!$H$33="Muy Baja",'Mapa final'!$L$33="Leve"),CONCATENATE("R",'Mapa final'!$A$33),"")</f>
        <v/>
      </c>
      <c r="M40" s="316"/>
      <c r="N40" s="316" t="e">
        <f>IF(AND('Mapa final'!#REF!="Muy Baja",'Mapa final'!#REF!="Leve"),CONCATENATE("R",'Mapa final'!#REF!),"")</f>
        <v>#REF!</v>
      </c>
      <c r="O40" s="317"/>
      <c r="P40" s="315" t="str">
        <f>IF(AND('Mapa final'!$H$28="Muy Baja",'Mapa final'!$L$28="Menor"),CONCATENATE("R",'Mapa final'!$A$28),"")</f>
        <v/>
      </c>
      <c r="Q40" s="316"/>
      <c r="R40" s="316" t="str">
        <f>IF(AND('Mapa final'!$H$33="Muy Baja",'Mapa final'!$L$33="Menor"),CONCATENATE("R",'Mapa final'!$A$33),"")</f>
        <v/>
      </c>
      <c r="S40" s="316"/>
      <c r="T40" s="316" t="e">
        <f>IF(AND('Mapa final'!#REF!="Muy Baja",'Mapa final'!#REF!="Menor"),CONCATENATE("R",'Mapa final'!#REF!),"")</f>
        <v>#REF!</v>
      </c>
      <c r="U40" s="317"/>
      <c r="V40" s="324" t="str">
        <f>IF(AND('Mapa final'!$H$28="Muy Baja",'Mapa final'!$L$28="Moderado"),CONCATENATE("R",'Mapa final'!$A$28),"")</f>
        <v/>
      </c>
      <c r="W40" s="325"/>
      <c r="X40" s="325" t="str">
        <f>IF(AND('Mapa final'!$H$33="Muy Baja",'Mapa final'!$L$33="Moderado"),CONCATENATE("R",'Mapa final'!$A$33),"")</f>
        <v/>
      </c>
      <c r="Y40" s="325"/>
      <c r="Z40" s="325" t="e">
        <f>IF(AND('Mapa final'!#REF!="Muy Baja",'Mapa final'!#REF!="Moderado"),CONCATENATE("R",'Mapa final'!#REF!),"")</f>
        <v>#REF!</v>
      </c>
      <c r="AA40" s="326"/>
      <c r="AB40" s="342" t="str">
        <f>IF(AND('Mapa final'!$H$28="Muy Baja",'Mapa final'!$L$28="Mayor"),CONCATENATE("R",'Mapa final'!$A$28),"")</f>
        <v/>
      </c>
      <c r="AC40" s="343"/>
      <c r="AD40" s="343" t="str">
        <f>IF(AND('Mapa final'!$H$33="Muy Baja",'Mapa final'!$L$33="Mayor"),CONCATENATE("R",'Mapa final'!$A$33),"")</f>
        <v/>
      </c>
      <c r="AE40" s="343"/>
      <c r="AF40" s="343" t="e">
        <f>IF(AND('Mapa final'!#REF!="Muy Baja",'Mapa final'!#REF!="Mayor"),CONCATENATE("R",'Mapa final'!#REF!),"")</f>
        <v>#REF!</v>
      </c>
      <c r="AG40" s="344"/>
      <c r="AH40" s="333" t="str">
        <f>IF(AND('Mapa final'!$H$28="Muy Baja",'Mapa final'!$L$28="Catastrófico"),CONCATENATE("R",'Mapa final'!$A$28),"")</f>
        <v/>
      </c>
      <c r="AI40" s="334"/>
      <c r="AJ40" s="334" t="str">
        <f>IF(AND('Mapa final'!$H$33="Muy Baja",'Mapa final'!$L$33="Catastrófico"),CONCATENATE("R",'Mapa final'!$A$33),"")</f>
        <v/>
      </c>
      <c r="AK40" s="334"/>
      <c r="AL40" s="334" t="e">
        <f>IF(AND('Mapa final'!#REF!="Muy Baja",'Mapa final'!#REF!="Catastrófico"),CONCATENATE("R",'Mapa final'!#REF!),"")</f>
        <v>#REF!</v>
      </c>
      <c r="AM40" s="335"/>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294"/>
      <c r="C41" s="294"/>
      <c r="D41" s="295"/>
      <c r="E41" s="354"/>
      <c r="F41" s="355"/>
      <c r="G41" s="355"/>
      <c r="H41" s="355"/>
      <c r="I41" s="356"/>
      <c r="J41" s="315"/>
      <c r="K41" s="316"/>
      <c r="L41" s="316"/>
      <c r="M41" s="316"/>
      <c r="N41" s="316"/>
      <c r="O41" s="317"/>
      <c r="P41" s="315"/>
      <c r="Q41" s="316"/>
      <c r="R41" s="316"/>
      <c r="S41" s="316"/>
      <c r="T41" s="316"/>
      <c r="U41" s="317"/>
      <c r="V41" s="324"/>
      <c r="W41" s="325"/>
      <c r="X41" s="325"/>
      <c r="Y41" s="325"/>
      <c r="Z41" s="325"/>
      <c r="AA41" s="326"/>
      <c r="AB41" s="342"/>
      <c r="AC41" s="343"/>
      <c r="AD41" s="343"/>
      <c r="AE41" s="343"/>
      <c r="AF41" s="343"/>
      <c r="AG41" s="344"/>
      <c r="AH41" s="333"/>
      <c r="AI41" s="334"/>
      <c r="AJ41" s="334"/>
      <c r="AK41" s="334"/>
      <c r="AL41" s="334"/>
      <c r="AM41" s="335"/>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294"/>
      <c r="C42" s="294"/>
      <c r="D42" s="295"/>
      <c r="E42" s="354"/>
      <c r="F42" s="355"/>
      <c r="G42" s="355"/>
      <c r="H42" s="355"/>
      <c r="I42" s="356"/>
      <c r="J42" s="315" t="str">
        <f>IF(AND('Mapa final'!$H$39="Muy Baja",'Mapa final'!$L$39="Leve"),CONCATENATE("R",'Mapa final'!$A$39),"")</f>
        <v/>
      </c>
      <c r="K42" s="316"/>
      <c r="L42" s="316" t="str">
        <f>IF(AND('Mapa final'!$H$45="Muy Baja",'Mapa final'!$L$45="Leve"),CONCATENATE("R",'Mapa final'!$A$45),"")</f>
        <v/>
      </c>
      <c r="M42" s="316"/>
      <c r="N42" s="316" t="str">
        <f>IF(AND('Mapa final'!$H$51="Muy Baja",'Mapa final'!$L$51="Leve"),CONCATENATE("R",'Mapa final'!$A$51),"")</f>
        <v/>
      </c>
      <c r="O42" s="317"/>
      <c r="P42" s="315" t="str">
        <f>IF(AND('Mapa final'!$H$39="Muy Baja",'Mapa final'!$L$39="Menor"),CONCATENATE("R",'Mapa final'!$A$39),"")</f>
        <v/>
      </c>
      <c r="Q42" s="316"/>
      <c r="R42" s="316" t="str">
        <f>IF(AND('Mapa final'!$H$45="Muy Baja",'Mapa final'!$L$45="Menor"),CONCATENATE("R",'Mapa final'!$A$45),"")</f>
        <v/>
      </c>
      <c r="S42" s="316"/>
      <c r="T42" s="316" t="str">
        <f>IF(AND('Mapa final'!$H$51="Muy Baja",'Mapa final'!$L$51="Menor"),CONCATENATE("R",'Mapa final'!$A$51),"")</f>
        <v/>
      </c>
      <c r="U42" s="317"/>
      <c r="V42" s="324" t="str">
        <f>IF(AND('Mapa final'!$H$39="Muy Baja",'Mapa final'!$L$39="Moderado"),CONCATENATE("R",'Mapa final'!$A$39),"")</f>
        <v/>
      </c>
      <c r="W42" s="325"/>
      <c r="X42" s="325" t="str">
        <f>IF(AND('Mapa final'!$H$45="Muy Baja",'Mapa final'!$L$45="Moderado"),CONCATENATE("R",'Mapa final'!$A$45),"")</f>
        <v/>
      </c>
      <c r="Y42" s="325"/>
      <c r="Z42" s="325" t="str">
        <f>IF(AND('Mapa final'!$H$51="Muy Baja",'Mapa final'!$L$51="Moderado"),CONCATENATE("R",'Mapa final'!$A$51),"")</f>
        <v/>
      </c>
      <c r="AA42" s="326"/>
      <c r="AB42" s="342" t="str">
        <f>IF(AND('Mapa final'!$H$39="Muy Baja",'Mapa final'!$L$39="Mayor"),CONCATENATE("R",'Mapa final'!$A$39),"")</f>
        <v/>
      </c>
      <c r="AC42" s="343"/>
      <c r="AD42" s="343" t="str">
        <f>IF(AND('Mapa final'!$H$45="Muy Baja",'Mapa final'!$L$45="Mayor"),CONCATENATE("R",'Mapa final'!$A$45),"")</f>
        <v/>
      </c>
      <c r="AE42" s="343"/>
      <c r="AF42" s="343" t="str">
        <f>IF(AND('Mapa final'!$H$51="Muy Baja",'Mapa final'!$L$51="Mayor"),CONCATENATE("R",'Mapa final'!$A$51),"")</f>
        <v/>
      </c>
      <c r="AG42" s="344"/>
      <c r="AH42" s="333" t="str">
        <f>IF(AND('Mapa final'!$H$39="Muy Baja",'Mapa final'!$L$39="Catastrófico"),CONCATENATE("R",'Mapa final'!$A$39),"")</f>
        <v/>
      </c>
      <c r="AI42" s="334"/>
      <c r="AJ42" s="334" t="str">
        <f>IF(AND('Mapa final'!$H$45="Muy Baja",'Mapa final'!$L$45="Catastrófico"),CONCATENATE("R",'Mapa final'!$A$45),"")</f>
        <v/>
      </c>
      <c r="AK42" s="334"/>
      <c r="AL42" s="334" t="str">
        <f>IF(AND('Mapa final'!$H$51="Muy Baja",'Mapa final'!$L$51="Catastrófico"),CONCATENATE("R",'Mapa final'!$A$51),"")</f>
        <v/>
      </c>
      <c r="AM42" s="335"/>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294"/>
      <c r="C43" s="294"/>
      <c r="D43" s="295"/>
      <c r="E43" s="354"/>
      <c r="F43" s="355"/>
      <c r="G43" s="355"/>
      <c r="H43" s="355"/>
      <c r="I43" s="356"/>
      <c r="J43" s="315"/>
      <c r="K43" s="316"/>
      <c r="L43" s="316"/>
      <c r="M43" s="316"/>
      <c r="N43" s="316"/>
      <c r="O43" s="317"/>
      <c r="P43" s="315"/>
      <c r="Q43" s="316"/>
      <c r="R43" s="316"/>
      <c r="S43" s="316"/>
      <c r="T43" s="316"/>
      <c r="U43" s="317"/>
      <c r="V43" s="324"/>
      <c r="W43" s="325"/>
      <c r="X43" s="325"/>
      <c r="Y43" s="325"/>
      <c r="Z43" s="325"/>
      <c r="AA43" s="326"/>
      <c r="AB43" s="342"/>
      <c r="AC43" s="343"/>
      <c r="AD43" s="343"/>
      <c r="AE43" s="343"/>
      <c r="AF43" s="343"/>
      <c r="AG43" s="344"/>
      <c r="AH43" s="333"/>
      <c r="AI43" s="334"/>
      <c r="AJ43" s="334"/>
      <c r="AK43" s="334"/>
      <c r="AL43" s="334"/>
      <c r="AM43" s="335"/>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294"/>
      <c r="C44" s="294"/>
      <c r="D44" s="295"/>
      <c r="E44" s="354"/>
      <c r="F44" s="355"/>
      <c r="G44" s="355"/>
      <c r="H44" s="355"/>
      <c r="I44" s="356"/>
      <c r="J44" s="315" t="str">
        <f>IF(AND('Mapa final'!$H$57="Muy Baja",'Mapa final'!$L$57="Leve"),CONCATENATE("R",'Mapa final'!$A$57),"")</f>
        <v/>
      </c>
      <c r="K44" s="316"/>
      <c r="L44" s="316" t="str">
        <f>IF(AND('Mapa final'!$H$63="Muy Baja",'Mapa final'!$L$63="Leve"),CONCATENATE("R",'Mapa final'!$A$63),"")</f>
        <v/>
      </c>
      <c r="M44" s="316"/>
      <c r="N44" s="316" t="str">
        <f>IF(AND('Mapa final'!$H$69="Muy Baja",'Mapa final'!$L$69="Leve"),CONCATENATE("R",'Mapa final'!$A$69),"")</f>
        <v/>
      </c>
      <c r="O44" s="317"/>
      <c r="P44" s="315" t="str">
        <f>IF(AND('Mapa final'!$H$57="Muy Baja",'Mapa final'!$L$57="Menor"),CONCATENATE("R",'Mapa final'!$A$57),"")</f>
        <v/>
      </c>
      <c r="Q44" s="316"/>
      <c r="R44" s="316" t="str">
        <f>IF(AND('Mapa final'!$H$63="Muy Baja",'Mapa final'!$L$63="Menor"),CONCATENATE("R",'Mapa final'!$A$63),"")</f>
        <v/>
      </c>
      <c r="S44" s="316"/>
      <c r="T44" s="316" t="str">
        <f>IF(AND('Mapa final'!$H$69="Muy Baja",'Mapa final'!$L$69="Menor"),CONCATENATE("R",'Mapa final'!$A$69),"")</f>
        <v/>
      </c>
      <c r="U44" s="317"/>
      <c r="V44" s="324" t="str">
        <f>IF(AND('Mapa final'!$H$57="Muy Baja",'Mapa final'!$L$57="Moderado"),CONCATENATE("R",'Mapa final'!$A$57),"")</f>
        <v/>
      </c>
      <c r="W44" s="325"/>
      <c r="X44" s="325" t="str">
        <f>IF(AND('Mapa final'!$H$63="Muy Baja",'Mapa final'!$L$63="Moderado"),CONCATENATE("R",'Mapa final'!$A$63),"")</f>
        <v/>
      </c>
      <c r="Y44" s="325"/>
      <c r="Z44" s="325" t="str">
        <f>IF(AND('Mapa final'!$H$69="Muy Baja",'Mapa final'!$L$69="Moderado"),CONCATENATE("R",'Mapa final'!$A$69),"")</f>
        <v/>
      </c>
      <c r="AA44" s="326"/>
      <c r="AB44" s="342" t="str">
        <f>IF(AND('Mapa final'!$H$57="Muy Baja",'Mapa final'!$L$57="Mayor"),CONCATENATE("R",'Mapa final'!$A$57),"")</f>
        <v/>
      </c>
      <c r="AC44" s="343"/>
      <c r="AD44" s="343" t="str">
        <f>IF(AND('Mapa final'!$H$63="Muy Baja",'Mapa final'!$L$63="Mayor"),CONCATENATE("R",'Mapa final'!$A$63),"")</f>
        <v/>
      </c>
      <c r="AE44" s="343"/>
      <c r="AF44" s="343" t="str">
        <f>IF(AND('Mapa final'!$H$69="Muy Baja",'Mapa final'!$L$69="Mayor"),CONCATENATE("R",'Mapa final'!$A$69),"")</f>
        <v/>
      </c>
      <c r="AG44" s="344"/>
      <c r="AH44" s="333" t="str">
        <f>IF(AND('Mapa final'!$H$57="Muy Baja",'Mapa final'!$L$57="Catastrófico"),CONCATENATE("R",'Mapa final'!$A$57),"")</f>
        <v/>
      </c>
      <c r="AI44" s="334"/>
      <c r="AJ44" s="334" t="str">
        <f>IF(AND('Mapa final'!$H$63="Muy Baja",'Mapa final'!$L$63="Catastrófico"),CONCATENATE("R",'Mapa final'!$A$63),"")</f>
        <v/>
      </c>
      <c r="AK44" s="334"/>
      <c r="AL44" s="334" t="str">
        <f>IF(AND('Mapa final'!$H$69="Muy Baja",'Mapa final'!$L$69="Catastrófico"),CONCATENATE("R",'Mapa final'!$A$69),"")</f>
        <v/>
      </c>
      <c r="AM44" s="335"/>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294"/>
      <c r="C45" s="294"/>
      <c r="D45" s="295"/>
      <c r="E45" s="357"/>
      <c r="F45" s="358"/>
      <c r="G45" s="358"/>
      <c r="H45" s="358"/>
      <c r="I45" s="359"/>
      <c r="J45" s="318"/>
      <c r="K45" s="319"/>
      <c r="L45" s="319"/>
      <c r="M45" s="319"/>
      <c r="N45" s="319"/>
      <c r="O45" s="320"/>
      <c r="P45" s="318"/>
      <c r="Q45" s="319"/>
      <c r="R45" s="319"/>
      <c r="S45" s="319"/>
      <c r="T45" s="319"/>
      <c r="U45" s="320"/>
      <c r="V45" s="327"/>
      <c r="W45" s="328"/>
      <c r="X45" s="328"/>
      <c r="Y45" s="328"/>
      <c r="Z45" s="328"/>
      <c r="AA45" s="329"/>
      <c r="AB45" s="345"/>
      <c r="AC45" s="346"/>
      <c r="AD45" s="346"/>
      <c r="AE45" s="346"/>
      <c r="AF45" s="346"/>
      <c r="AG45" s="347"/>
      <c r="AH45" s="336"/>
      <c r="AI45" s="337"/>
      <c r="AJ45" s="337"/>
      <c r="AK45" s="337"/>
      <c r="AL45" s="337"/>
      <c r="AM45" s="338"/>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51" t="s">
        <v>112</v>
      </c>
      <c r="K46" s="352"/>
      <c r="L46" s="352"/>
      <c r="M46" s="352"/>
      <c r="N46" s="352"/>
      <c r="O46" s="353"/>
      <c r="P46" s="351" t="s">
        <v>111</v>
      </c>
      <c r="Q46" s="352"/>
      <c r="R46" s="352"/>
      <c r="S46" s="352"/>
      <c r="T46" s="352"/>
      <c r="U46" s="353"/>
      <c r="V46" s="351" t="s">
        <v>110</v>
      </c>
      <c r="W46" s="352"/>
      <c r="X46" s="352"/>
      <c r="Y46" s="352"/>
      <c r="Z46" s="352"/>
      <c r="AA46" s="353"/>
      <c r="AB46" s="351" t="s">
        <v>109</v>
      </c>
      <c r="AC46" s="360"/>
      <c r="AD46" s="352"/>
      <c r="AE46" s="352"/>
      <c r="AF46" s="352"/>
      <c r="AG46" s="353"/>
      <c r="AH46" s="351" t="s">
        <v>108</v>
      </c>
      <c r="AI46" s="352"/>
      <c r="AJ46" s="352"/>
      <c r="AK46" s="352"/>
      <c r="AL46" s="352"/>
      <c r="AM46" s="353"/>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54"/>
      <c r="K47" s="355"/>
      <c r="L47" s="355"/>
      <c r="M47" s="355"/>
      <c r="N47" s="355"/>
      <c r="O47" s="356"/>
      <c r="P47" s="354"/>
      <c r="Q47" s="355"/>
      <c r="R47" s="355"/>
      <c r="S47" s="355"/>
      <c r="T47" s="355"/>
      <c r="U47" s="356"/>
      <c r="V47" s="354"/>
      <c r="W47" s="355"/>
      <c r="X47" s="355"/>
      <c r="Y47" s="355"/>
      <c r="Z47" s="355"/>
      <c r="AA47" s="356"/>
      <c r="AB47" s="354"/>
      <c r="AC47" s="355"/>
      <c r="AD47" s="355"/>
      <c r="AE47" s="355"/>
      <c r="AF47" s="355"/>
      <c r="AG47" s="356"/>
      <c r="AH47" s="354"/>
      <c r="AI47" s="355"/>
      <c r="AJ47" s="355"/>
      <c r="AK47" s="355"/>
      <c r="AL47" s="355"/>
      <c r="AM47" s="356"/>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54"/>
      <c r="K48" s="355"/>
      <c r="L48" s="355"/>
      <c r="M48" s="355"/>
      <c r="N48" s="355"/>
      <c r="O48" s="356"/>
      <c r="P48" s="354"/>
      <c r="Q48" s="355"/>
      <c r="R48" s="355"/>
      <c r="S48" s="355"/>
      <c r="T48" s="355"/>
      <c r="U48" s="356"/>
      <c r="V48" s="354"/>
      <c r="W48" s="355"/>
      <c r="X48" s="355"/>
      <c r="Y48" s="355"/>
      <c r="Z48" s="355"/>
      <c r="AA48" s="356"/>
      <c r="AB48" s="354"/>
      <c r="AC48" s="355"/>
      <c r="AD48" s="355"/>
      <c r="AE48" s="355"/>
      <c r="AF48" s="355"/>
      <c r="AG48" s="356"/>
      <c r="AH48" s="354"/>
      <c r="AI48" s="355"/>
      <c r="AJ48" s="355"/>
      <c r="AK48" s="355"/>
      <c r="AL48" s="355"/>
      <c r="AM48" s="356"/>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54"/>
      <c r="K49" s="355"/>
      <c r="L49" s="355"/>
      <c r="M49" s="355"/>
      <c r="N49" s="355"/>
      <c r="O49" s="356"/>
      <c r="P49" s="354"/>
      <c r="Q49" s="355"/>
      <c r="R49" s="355"/>
      <c r="S49" s="355"/>
      <c r="T49" s="355"/>
      <c r="U49" s="356"/>
      <c r="V49" s="354"/>
      <c r="W49" s="355"/>
      <c r="X49" s="355"/>
      <c r="Y49" s="355"/>
      <c r="Z49" s="355"/>
      <c r="AA49" s="356"/>
      <c r="AB49" s="354"/>
      <c r="AC49" s="355"/>
      <c r="AD49" s="355"/>
      <c r="AE49" s="355"/>
      <c r="AF49" s="355"/>
      <c r="AG49" s="356"/>
      <c r="AH49" s="354"/>
      <c r="AI49" s="355"/>
      <c r="AJ49" s="355"/>
      <c r="AK49" s="355"/>
      <c r="AL49" s="355"/>
      <c r="AM49" s="356"/>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54"/>
      <c r="K50" s="355"/>
      <c r="L50" s="355"/>
      <c r="M50" s="355"/>
      <c r="N50" s="355"/>
      <c r="O50" s="356"/>
      <c r="P50" s="354"/>
      <c r="Q50" s="355"/>
      <c r="R50" s="355"/>
      <c r="S50" s="355"/>
      <c r="T50" s="355"/>
      <c r="U50" s="356"/>
      <c r="V50" s="354"/>
      <c r="W50" s="355"/>
      <c r="X50" s="355"/>
      <c r="Y50" s="355"/>
      <c r="Z50" s="355"/>
      <c r="AA50" s="356"/>
      <c r="AB50" s="354"/>
      <c r="AC50" s="355"/>
      <c r="AD50" s="355"/>
      <c r="AE50" s="355"/>
      <c r="AF50" s="355"/>
      <c r="AG50" s="356"/>
      <c r="AH50" s="354"/>
      <c r="AI50" s="355"/>
      <c r="AJ50" s="355"/>
      <c r="AK50" s="355"/>
      <c r="AL50" s="355"/>
      <c r="AM50" s="356"/>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57"/>
      <c r="K51" s="358"/>
      <c r="L51" s="358"/>
      <c r="M51" s="358"/>
      <c r="N51" s="358"/>
      <c r="O51" s="359"/>
      <c r="P51" s="357"/>
      <c r="Q51" s="358"/>
      <c r="R51" s="358"/>
      <c r="S51" s="358"/>
      <c r="T51" s="358"/>
      <c r="U51" s="359"/>
      <c r="V51" s="357"/>
      <c r="W51" s="358"/>
      <c r="X51" s="358"/>
      <c r="Y51" s="358"/>
      <c r="Z51" s="358"/>
      <c r="AA51" s="359"/>
      <c r="AB51" s="357"/>
      <c r="AC51" s="358"/>
      <c r="AD51" s="358"/>
      <c r="AE51" s="358"/>
      <c r="AF51" s="358"/>
      <c r="AG51" s="359"/>
      <c r="AH51" s="357"/>
      <c r="AI51" s="358"/>
      <c r="AJ51" s="358"/>
      <c r="AK51" s="358"/>
      <c r="AL51" s="358"/>
      <c r="AM51" s="35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A1:AK55"/>
  <sheetViews>
    <sheetView zoomScale="90" zoomScaleNormal="90" workbookViewId="0">
      <selection activeCell="D5" sqref="C5: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397" t="s">
        <v>55</v>
      </c>
      <c r="C1" s="397"/>
      <c r="D1" s="397"/>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11"/>
      <c r="C3" s="12" t="s">
        <v>52</v>
      </c>
      <c r="D3" s="12"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3" t="s">
        <v>51</v>
      </c>
      <c r="C4" s="14" t="s">
        <v>102</v>
      </c>
      <c r="D4" s="15">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6" t="s">
        <v>53</v>
      </c>
      <c r="C5" s="17" t="s">
        <v>103</v>
      </c>
      <c r="D5" s="18">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9" t="s">
        <v>107</v>
      </c>
      <c r="C6" s="17" t="s">
        <v>104</v>
      </c>
      <c r="D6" s="18">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20" t="s">
        <v>6</v>
      </c>
      <c r="C7" s="17" t="s">
        <v>105</v>
      </c>
      <c r="D7" s="18">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21" t="s">
        <v>54</v>
      </c>
      <c r="C8" s="17" t="s">
        <v>106</v>
      </c>
      <c r="D8" s="18">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398" t="s">
        <v>63</v>
      </c>
      <c r="C1" s="398"/>
      <c r="D1" s="398"/>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158</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146</v>
      </c>
      <c r="D11" s="100" t="s">
        <v>153</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150</v>
      </c>
      <c r="D12" s="100" t="s">
        <v>154</v>
      </c>
      <c r="E12" s="80"/>
      <c r="F12" s="80"/>
      <c r="G12" s="80"/>
      <c r="H12" s="80"/>
      <c r="I12" s="80"/>
      <c r="J12" s="80"/>
      <c r="K12" s="80"/>
      <c r="L12" s="80"/>
      <c r="M12" s="80"/>
      <c r="N12" s="80"/>
      <c r="O12" s="80"/>
      <c r="P12" s="80"/>
      <c r="Q12" s="80"/>
      <c r="R12" s="80"/>
      <c r="S12" s="80"/>
      <c r="T12" s="80"/>
      <c r="U12" s="80"/>
    </row>
    <row r="13" spans="1:21" x14ac:dyDescent="0.25">
      <c r="A13" s="100"/>
      <c r="B13" s="100"/>
      <c r="C13" s="100" t="s">
        <v>149</v>
      </c>
      <c r="D13" s="100" t="s">
        <v>155</v>
      </c>
      <c r="E13" s="80"/>
      <c r="F13" s="80"/>
      <c r="G13" s="80"/>
      <c r="H13" s="80"/>
      <c r="I13" s="80"/>
      <c r="J13" s="80"/>
      <c r="K13" s="80"/>
      <c r="L13" s="80"/>
      <c r="M13" s="80"/>
      <c r="N13" s="80"/>
      <c r="O13" s="80"/>
      <c r="P13" s="80"/>
      <c r="Q13" s="80"/>
      <c r="R13" s="80"/>
      <c r="S13" s="80"/>
      <c r="T13" s="80"/>
      <c r="U13" s="80"/>
    </row>
    <row r="14" spans="1:21" x14ac:dyDescent="0.25">
      <c r="A14" s="100"/>
      <c r="B14" s="100"/>
      <c r="C14" s="100" t="s">
        <v>151</v>
      </c>
      <c r="D14" s="100" t="s">
        <v>156</v>
      </c>
      <c r="E14" s="80"/>
      <c r="F14" s="80"/>
      <c r="G14" s="80"/>
      <c r="H14" s="80"/>
      <c r="I14" s="80"/>
      <c r="J14" s="80"/>
      <c r="K14" s="80"/>
      <c r="L14" s="80"/>
      <c r="M14" s="80"/>
      <c r="N14" s="80"/>
      <c r="O14" s="80"/>
      <c r="P14" s="80"/>
      <c r="Q14" s="80"/>
      <c r="R14" s="80"/>
      <c r="S14" s="80"/>
      <c r="T14" s="80"/>
      <c r="U14" s="80"/>
    </row>
    <row r="15" spans="1:21" x14ac:dyDescent="0.25">
      <c r="A15" s="100"/>
      <c r="B15" s="100"/>
      <c r="C15" s="100" t="s">
        <v>152</v>
      </c>
      <c r="D15" s="100" t="s">
        <v>157</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3"/>
      <c r="C52" s="31"/>
      <c r="D52" s="31"/>
    </row>
    <row r="53" spans="1:15" ht="20.25" x14ac:dyDescent="0.25">
      <c r="A53" s="100"/>
      <c r="B53" s="23"/>
      <c r="C53" s="31"/>
      <c r="D53" s="31"/>
    </row>
    <row r="54" spans="1:15" ht="20.25" x14ac:dyDescent="0.25">
      <c r="A54" s="100"/>
      <c r="B54" s="23"/>
      <c r="C54" s="31"/>
      <c r="D54" s="31"/>
    </row>
    <row r="55" spans="1:15" ht="20.25" x14ac:dyDescent="0.25">
      <c r="A55" s="100"/>
      <c r="B55" s="23"/>
      <c r="C55" s="31"/>
      <c r="D55" s="31"/>
    </row>
    <row r="56" spans="1:15" ht="20.25" x14ac:dyDescent="0.25">
      <c r="A56" s="100"/>
      <c r="B56" s="23"/>
      <c r="C56" s="31"/>
      <c r="D56" s="31"/>
    </row>
    <row r="57" spans="1:15" ht="20.25" x14ac:dyDescent="0.25">
      <c r="A57" s="100"/>
      <c r="B57" s="23"/>
      <c r="C57" s="31"/>
      <c r="D57" s="31"/>
    </row>
    <row r="58" spans="1:15" ht="20.25" x14ac:dyDescent="0.25">
      <c r="A58" s="100"/>
      <c r="B58" s="23"/>
      <c r="C58" s="31"/>
      <c r="D58" s="31"/>
    </row>
    <row r="59" spans="1:15" ht="20.25" x14ac:dyDescent="0.25">
      <c r="A59" s="100"/>
      <c r="B59" s="23"/>
      <c r="C59" s="31"/>
      <c r="D59" s="31"/>
    </row>
    <row r="60" spans="1:15" ht="20.25" x14ac:dyDescent="0.25">
      <c r="A60" s="100"/>
      <c r="B60" s="23"/>
      <c r="C60" s="31"/>
      <c r="D60" s="31"/>
    </row>
    <row r="61" spans="1:15" ht="20.25" x14ac:dyDescent="0.25">
      <c r="A61" s="100"/>
      <c r="B61" s="23"/>
      <c r="C61" s="31"/>
      <c r="D61" s="31"/>
    </row>
    <row r="62" spans="1:15" ht="20.25" x14ac:dyDescent="0.25">
      <c r="A62" s="100"/>
      <c r="B62" s="23"/>
      <c r="C62" s="31"/>
      <c r="D62" s="31"/>
    </row>
    <row r="63" spans="1:15" ht="20.25" x14ac:dyDescent="0.25">
      <c r="A63" s="100"/>
      <c r="B63" s="23"/>
      <c r="C63" s="31"/>
      <c r="D63" s="31"/>
    </row>
    <row r="64" spans="1:15" ht="20.25" x14ac:dyDescent="0.25">
      <c r="A64" s="100"/>
      <c r="B64" s="23"/>
      <c r="C64" s="31"/>
      <c r="D64" s="31"/>
    </row>
    <row r="65" spans="1:4" ht="20.25" x14ac:dyDescent="0.25">
      <c r="A65" s="100"/>
      <c r="B65" s="23"/>
      <c r="C65" s="31"/>
      <c r="D65" s="31"/>
    </row>
    <row r="66" spans="1:4" ht="20.25" x14ac:dyDescent="0.25">
      <c r="A66" s="100"/>
      <c r="B66" s="23"/>
      <c r="C66" s="31"/>
      <c r="D66" s="31"/>
    </row>
    <row r="67" spans="1:4" ht="20.25" x14ac:dyDescent="0.25">
      <c r="A67" s="100"/>
      <c r="B67" s="23"/>
      <c r="C67" s="31"/>
      <c r="D67" s="31"/>
    </row>
    <row r="68" spans="1:4" ht="20.25" x14ac:dyDescent="0.25">
      <c r="A68" s="100"/>
      <c r="B68" s="23"/>
      <c r="C68" s="31"/>
      <c r="D68" s="31"/>
    </row>
    <row r="69" spans="1:4" ht="20.25" x14ac:dyDescent="0.25">
      <c r="A69" s="100"/>
      <c r="B69" s="23"/>
      <c r="C69" s="31"/>
      <c r="D69" s="31"/>
    </row>
    <row r="70" spans="1:4" ht="20.25" x14ac:dyDescent="0.25">
      <c r="A70" s="100"/>
      <c r="B70" s="23"/>
      <c r="C70" s="31"/>
      <c r="D70" s="31"/>
    </row>
    <row r="71" spans="1:4" ht="20.25" x14ac:dyDescent="0.25">
      <c r="A71" s="100"/>
      <c r="B71" s="23"/>
      <c r="C71" s="31"/>
      <c r="D71" s="31"/>
    </row>
    <row r="72" spans="1:4" ht="20.25" x14ac:dyDescent="0.25">
      <c r="A72" s="100"/>
      <c r="B72" s="23"/>
      <c r="C72" s="31"/>
      <c r="D72" s="31"/>
    </row>
    <row r="73" spans="1:4" ht="20.25" x14ac:dyDescent="0.25">
      <c r="A73" s="100"/>
      <c r="B73" s="23"/>
      <c r="C73" s="31"/>
      <c r="D73" s="31"/>
    </row>
    <row r="74" spans="1:4" ht="20.25" x14ac:dyDescent="0.25">
      <c r="A74" s="100"/>
      <c r="B74" s="23"/>
      <c r="C74" s="31"/>
      <c r="D74" s="31"/>
    </row>
    <row r="75" spans="1:4" ht="20.25" x14ac:dyDescent="0.25">
      <c r="A75" s="100"/>
      <c r="B75" s="23"/>
      <c r="C75" s="31"/>
      <c r="D75" s="31"/>
    </row>
    <row r="76" spans="1:4" ht="20.25" x14ac:dyDescent="0.25">
      <c r="A76" s="100"/>
      <c r="B76" s="23"/>
      <c r="C76" s="31"/>
      <c r="D76" s="31"/>
    </row>
    <row r="77" spans="1:4" ht="20.25" x14ac:dyDescent="0.25">
      <c r="A77" s="100"/>
      <c r="B77" s="23"/>
      <c r="C77" s="31"/>
      <c r="D77" s="31"/>
    </row>
    <row r="78" spans="1:4" ht="20.25" x14ac:dyDescent="0.25">
      <c r="A78" s="100"/>
      <c r="B78" s="23"/>
      <c r="C78" s="31"/>
      <c r="D78" s="31"/>
    </row>
    <row r="79" spans="1:4" ht="20.25" x14ac:dyDescent="0.25">
      <c r="A79" s="100"/>
      <c r="B79" s="23"/>
      <c r="C79" s="31"/>
      <c r="D79" s="31"/>
    </row>
    <row r="80" spans="1:4" ht="20.25" x14ac:dyDescent="0.25">
      <c r="A80" s="100"/>
      <c r="B80" s="23"/>
      <c r="C80" s="31"/>
      <c r="D80" s="31"/>
    </row>
    <row r="81" spans="1:4" ht="20.25" x14ac:dyDescent="0.25">
      <c r="A81" s="100"/>
      <c r="B81" s="23"/>
      <c r="C81" s="31"/>
      <c r="D81" s="31"/>
    </row>
    <row r="82" spans="1:4" ht="20.25" x14ac:dyDescent="0.25">
      <c r="A82" s="100"/>
      <c r="B82" s="23"/>
      <c r="C82" s="31"/>
      <c r="D82" s="31"/>
    </row>
    <row r="83" spans="1:4" ht="20.25" x14ac:dyDescent="0.25">
      <c r="A83" s="100"/>
      <c r="B83" s="23"/>
      <c r="C83" s="31"/>
      <c r="D83" s="31"/>
    </row>
    <row r="84" spans="1:4" ht="20.25" x14ac:dyDescent="0.25">
      <c r="A84" s="100"/>
      <c r="B84" s="23"/>
      <c r="C84" s="31"/>
      <c r="D84" s="31"/>
    </row>
    <row r="85" spans="1:4" ht="20.25" x14ac:dyDescent="0.25">
      <c r="A85" s="100"/>
      <c r="B85" s="23"/>
      <c r="C85" s="31"/>
      <c r="D85" s="31"/>
    </row>
    <row r="86" spans="1:4" ht="20.25" x14ac:dyDescent="0.25">
      <c r="A86" s="100"/>
      <c r="B86" s="23"/>
      <c r="C86" s="31"/>
      <c r="D86" s="31"/>
    </row>
    <row r="87" spans="1:4" ht="20.25" x14ac:dyDescent="0.25">
      <c r="A87" s="100"/>
      <c r="B87" s="23"/>
      <c r="C87" s="31"/>
      <c r="D87" s="31"/>
    </row>
    <row r="88" spans="1:4" ht="20.25" x14ac:dyDescent="0.25">
      <c r="A88" s="100"/>
      <c r="B88" s="23"/>
      <c r="C88" s="31"/>
      <c r="D88" s="31"/>
    </row>
    <row r="89" spans="1:4" ht="20.25" x14ac:dyDescent="0.25">
      <c r="A89" s="100"/>
      <c r="B89" s="23"/>
      <c r="C89" s="31"/>
      <c r="D89" s="31"/>
    </row>
    <row r="90" spans="1:4" ht="20.25" x14ac:dyDescent="0.25">
      <c r="A90" s="100"/>
      <c r="B90" s="23"/>
      <c r="C90" s="31"/>
      <c r="D90" s="31"/>
    </row>
    <row r="91" spans="1:4" ht="20.25" x14ac:dyDescent="0.25">
      <c r="A91" s="100"/>
      <c r="B91" s="23"/>
      <c r="C91" s="31"/>
      <c r="D91" s="31"/>
    </row>
    <row r="92" spans="1:4" ht="20.25" x14ac:dyDescent="0.25">
      <c r="A92" s="100"/>
      <c r="B92" s="23"/>
      <c r="C92" s="31"/>
      <c r="D92" s="31"/>
    </row>
    <row r="93" spans="1:4" ht="20.25" x14ac:dyDescent="0.25">
      <c r="A93" s="100"/>
      <c r="B93" s="23"/>
      <c r="C93" s="31"/>
      <c r="D93" s="31"/>
    </row>
    <row r="94" spans="1:4" ht="20.25" x14ac:dyDescent="0.25">
      <c r="A94" s="100"/>
      <c r="B94" s="23"/>
      <c r="C94" s="31"/>
      <c r="D94" s="31"/>
    </row>
    <row r="95" spans="1:4" ht="20.25" x14ac:dyDescent="0.25">
      <c r="A95" s="100"/>
      <c r="B95" s="23"/>
      <c r="C95" s="31"/>
      <c r="D95" s="31"/>
    </row>
    <row r="96" spans="1:4" ht="20.25" x14ac:dyDescent="0.25">
      <c r="A96" s="100"/>
      <c r="B96" s="23"/>
      <c r="C96" s="31"/>
      <c r="D96" s="31"/>
    </row>
    <row r="97" spans="1:4" ht="20.25" x14ac:dyDescent="0.25">
      <c r="A97" s="100"/>
      <c r="B97" s="23"/>
      <c r="C97" s="31"/>
      <c r="D97" s="31"/>
    </row>
    <row r="98" spans="1:4" ht="20.25" x14ac:dyDescent="0.25">
      <c r="A98" s="100"/>
      <c r="B98" s="23"/>
      <c r="C98" s="31"/>
      <c r="D98" s="31"/>
    </row>
    <row r="99" spans="1:4" ht="20.25" x14ac:dyDescent="0.25">
      <c r="A99" s="100"/>
      <c r="B99" s="23"/>
      <c r="C99" s="31"/>
      <c r="D99" s="31"/>
    </row>
    <row r="100" spans="1:4" ht="20.25" x14ac:dyDescent="0.25">
      <c r="A100" s="100"/>
      <c r="B100" s="23"/>
      <c r="C100" s="31"/>
      <c r="D100" s="31"/>
    </row>
    <row r="101" spans="1:4" ht="20.25" x14ac:dyDescent="0.25">
      <c r="A101" s="100"/>
      <c r="B101" s="23"/>
      <c r="C101" s="31"/>
      <c r="D101" s="31"/>
    </row>
    <row r="102" spans="1:4" ht="20.25" x14ac:dyDescent="0.25">
      <c r="A102" s="100"/>
      <c r="B102" s="23"/>
      <c r="C102" s="31"/>
      <c r="D102" s="31"/>
    </row>
    <row r="103" spans="1:4" ht="20.25" x14ac:dyDescent="0.25">
      <c r="A103" s="100"/>
      <c r="B103" s="23"/>
      <c r="C103" s="31"/>
      <c r="D103" s="31"/>
    </row>
    <row r="104" spans="1:4" ht="20.25" x14ac:dyDescent="0.25">
      <c r="A104" s="100"/>
      <c r="B104" s="23"/>
      <c r="C104" s="31"/>
      <c r="D104" s="31"/>
    </row>
    <row r="105" spans="1:4" ht="20.25" x14ac:dyDescent="0.25">
      <c r="A105" s="100"/>
      <c r="B105" s="23"/>
      <c r="C105" s="31"/>
      <c r="D105" s="31"/>
    </row>
    <row r="106" spans="1:4" ht="20.25" x14ac:dyDescent="0.25">
      <c r="A106" s="100"/>
      <c r="B106" s="23"/>
      <c r="C106" s="31"/>
      <c r="D106" s="31"/>
    </row>
    <row r="107" spans="1:4" ht="20.25" x14ac:dyDescent="0.25">
      <c r="A107" s="100"/>
      <c r="B107" s="23"/>
      <c r="C107" s="31"/>
      <c r="D107" s="31"/>
    </row>
    <row r="108" spans="1:4" ht="20.25" x14ac:dyDescent="0.25">
      <c r="A108" s="100"/>
      <c r="B108" s="23"/>
      <c r="C108" s="31"/>
      <c r="D108" s="31"/>
    </row>
    <row r="109" spans="1:4" ht="20.25" x14ac:dyDescent="0.25">
      <c r="A109" s="100"/>
      <c r="B109" s="23"/>
      <c r="C109" s="31"/>
      <c r="D109" s="31"/>
    </row>
    <row r="110" spans="1:4" ht="20.25" x14ac:dyDescent="0.25">
      <c r="A110" s="100"/>
      <c r="B110" s="23"/>
      <c r="C110" s="31"/>
      <c r="D110" s="31"/>
    </row>
    <row r="111" spans="1:4" ht="20.25" x14ac:dyDescent="0.25">
      <c r="A111" s="100"/>
      <c r="B111" s="23"/>
      <c r="C111" s="31"/>
      <c r="D111" s="31"/>
    </row>
    <row r="112" spans="1:4" ht="20.25" x14ac:dyDescent="0.25">
      <c r="A112" s="100"/>
      <c r="B112" s="23"/>
      <c r="C112" s="31"/>
      <c r="D112" s="31"/>
    </row>
    <row r="113" spans="1:4" ht="20.25" x14ac:dyDescent="0.25">
      <c r="A113" s="100"/>
      <c r="B113" s="23"/>
      <c r="C113" s="31"/>
      <c r="D113" s="31"/>
    </row>
    <row r="114" spans="1:4" ht="20.25" x14ac:dyDescent="0.25">
      <c r="A114" s="100"/>
      <c r="B114" s="23"/>
      <c r="C114" s="31"/>
      <c r="D114" s="31"/>
    </row>
    <row r="115" spans="1:4" ht="20.25" x14ac:dyDescent="0.25">
      <c r="A115" s="100"/>
      <c r="B115" s="23"/>
      <c r="C115" s="31"/>
      <c r="D115" s="31"/>
    </row>
    <row r="116" spans="1:4" ht="20.25" x14ac:dyDescent="0.25">
      <c r="A116" s="100"/>
      <c r="B116" s="23"/>
      <c r="C116" s="31"/>
      <c r="D116" s="31"/>
    </row>
    <row r="117" spans="1:4" ht="20.25" x14ac:dyDescent="0.25">
      <c r="A117" s="100"/>
      <c r="B117" s="23"/>
      <c r="C117" s="31"/>
      <c r="D117" s="31"/>
    </row>
    <row r="118" spans="1:4" ht="20.25" x14ac:dyDescent="0.25">
      <c r="A118" s="100"/>
      <c r="B118" s="23"/>
      <c r="C118" s="31"/>
      <c r="D118" s="31"/>
    </row>
    <row r="119" spans="1:4" ht="20.25" x14ac:dyDescent="0.25">
      <c r="A119" s="100"/>
      <c r="B119" s="23"/>
      <c r="C119" s="31"/>
      <c r="D119" s="31"/>
    </row>
    <row r="120" spans="1:4" ht="20.25" x14ac:dyDescent="0.25">
      <c r="A120" s="100"/>
      <c r="B120" s="23"/>
      <c r="C120" s="31"/>
      <c r="D120" s="31"/>
    </row>
    <row r="121" spans="1:4" ht="20.25" x14ac:dyDescent="0.25">
      <c r="A121" s="100"/>
      <c r="B121" s="23"/>
      <c r="C121" s="31"/>
      <c r="D121" s="31"/>
    </row>
    <row r="122" spans="1:4" ht="20.25" x14ac:dyDescent="0.25">
      <c r="A122" s="100"/>
      <c r="B122" s="23"/>
      <c r="C122" s="31"/>
      <c r="D122" s="31"/>
    </row>
    <row r="123" spans="1:4" ht="20.25" x14ac:dyDescent="0.25">
      <c r="A123" s="100"/>
      <c r="B123" s="23"/>
      <c r="C123" s="31"/>
      <c r="D123" s="31"/>
    </row>
    <row r="124" spans="1:4" ht="20.25" x14ac:dyDescent="0.25">
      <c r="A124" s="100"/>
      <c r="B124" s="23"/>
      <c r="C124" s="31"/>
      <c r="D124" s="31"/>
    </row>
    <row r="125" spans="1:4" ht="20.25" x14ac:dyDescent="0.25">
      <c r="A125" s="100"/>
      <c r="B125" s="23"/>
      <c r="C125" s="31"/>
      <c r="D125" s="31"/>
    </row>
    <row r="126" spans="1:4" ht="20.25" x14ac:dyDescent="0.25">
      <c r="A126" s="100"/>
      <c r="B126" s="23"/>
      <c r="C126" s="31"/>
      <c r="D126" s="31"/>
    </row>
    <row r="127" spans="1:4" ht="20.25" x14ac:dyDescent="0.25">
      <c r="A127" s="100"/>
      <c r="B127" s="23"/>
      <c r="C127" s="31"/>
      <c r="D127" s="31"/>
    </row>
    <row r="128" spans="1:4" ht="20.25" x14ac:dyDescent="0.25">
      <c r="A128" s="100"/>
      <c r="B128" s="23"/>
      <c r="C128" s="31"/>
      <c r="D128" s="31"/>
    </row>
    <row r="129" spans="1:4" ht="20.25" x14ac:dyDescent="0.25">
      <c r="A129" s="100"/>
      <c r="B129" s="23"/>
      <c r="C129" s="31"/>
      <c r="D129" s="31"/>
    </row>
    <row r="130" spans="1:4" ht="20.25" x14ac:dyDescent="0.25">
      <c r="A130" s="100"/>
      <c r="B130" s="23"/>
      <c r="C130" s="31"/>
      <c r="D130" s="31"/>
    </row>
    <row r="131" spans="1:4" ht="20.25" x14ac:dyDescent="0.25">
      <c r="A131" s="100"/>
      <c r="B131" s="23"/>
      <c r="C131" s="31"/>
      <c r="D131" s="31"/>
    </row>
    <row r="132" spans="1:4" ht="20.25" x14ac:dyDescent="0.25">
      <c r="A132" s="100"/>
      <c r="B132" s="23"/>
      <c r="C132" s="31"/>
      <c r="D132" s="31"/>
    </row>
    <row r="133" spans="1:4" ht="20.25" x14ac:dyDescent="0.25">
      <c r="A133" s="100"/>
      <c r="B133" s="23"/>
      <c r="C133" s="31"/>
      <c r="D133" s="31"/>
    </row>
    <row r="134" spans="1:4" ht="20.25" x14ac:dyDescent="0.25">
      <c r="A134" s="100"/>
      <c r="B134" s="23"/>
      <c r="C134" s="31"/>
      <c r="D134" s="31"/>
    </row>
    <row r="135" spans="1:4" ht="20.25" x14ac:dyDescent="0.25">
      <c r="A135" s="100"/>
      <c r="B135" s="23"/>
      <c r="C135" s="31"/>
      <c r="D135" s="31"/>
    </row>
    <row r="136" spans="1:4" ht="20.25" x14ac:dyDescent="0.25">
      <c r="A136" s="100"/>
      <c r="B136" s="23"/>
      <c r="C136" s="31"/>
      <c r="D136" s="31"/>
    </row>
    <row r="137" spans="1:4" ht="20.25" x14ac:dyDescent="0.25">
      <c r="A137" s="100"/>
      <c r="B137" s="23"/>
      <c r="C137" s="31"/>
      <c r="D137" s="31"/>
    </row>
    <row r="138" spans="1:4" ht="20.25" x14ac:dyDescent="0.25">
      <c r="A138" s="100"/>
      <c r="B138" s="23"/>
      <c r="C138" s="31"/>
      <c r="D138" s="31"/>
    </row>
    <row r="139" spans="1:4" ht="20.25" x14ac:dyDescent="0.25">
      <c r="A139" s="100"/>
      <c r="B139" s="23"/>
      <c r="C139" s="31"/>
      <c r="D139" s="31"/>
    </row>
    <row r="140" spans="1:4" ht="20.25" x14ac:dyDescent="0.25">
      <c r="A140" s="100"/>
      <c r="B140" s="23"/>
      <c r="C140" s="31"/>
      <c r="D140" s="31"/>
    </row>
    <row r="141" spans="1:4" ht="20.25" x14ac:dyDescent="0.25">
      <c r="A141" s="100"/>
      <c r="B141" s="23"/>
      <c r="C141" s="31"/>
      <c r="D141" s="31"/>
    </row>
    <row r="142" spans="1:4" ht="20.25" x14ac:dyDescent="0.25">
      <c r="A142" s="100"/>
      <c r="B142" s="23"/>
      <c r="C142" s="31"/>
      <c r="D142" s="31"/>
    </row>
    <row r="143" spans="1:4" ht="20.25" x14ac:dyDescent="0.25">
      <c r="A143" s="100"/>
      <c r="B143" s="23"/>
      <c r="C143" s="31"/>
      <c r="D143" s="31"/>
    </row>
    <row r="144" spans="1:4" ht="20.25" x14ac:dyDescent="0.25">
      <c r="A144" s="100"/>
      <c r="B144" s="23"/>
      <c r="C144" s="31"/>
      <c r="D144" s="31"/>
    </row>
    <row r="145" spans="1:4" ht="20.25" x14ac:dyDescent="0.25">
      <c r="A145" s="100"/>
      <c r="B145" s="23"/>
      <c r="C145" s="31"/>
      <c r="D145" s="31"/>
    </row>
    <row r="146" spans="1:4" ht="20.25" x14ac:dyDescent="0.25">
      <c r="A146" s="100"/>
      <c r="B146" s="23"/>
      <c r="C146" s="31"/>
      <c r="D146" s="31"/>
    </row>
    <row r="147" spans="1:4" ht="20.25" x14ac:dyDescent="0.25">
      <c r="A147" s="100"/>
      <c r="B147" s="23"/>
      <c r="C147" s="31"/>
      <c r="D147" s="31"/>
    </row>
    <row r="148" spans="1:4" ht="20.25" x14ac:dyDescent="0.25">
      <c r="A148" s="100"/>
      <c r="B148" s="23"/>
      <c r="C148" s="31"/>
      <c r="D148" s="31"/>
    </row>
    <row r="149" spans="1:4" ht="20.25" x14ac:dyDescent="0.25">
      <c r="A149" s="100"/>
      <c r="B149" s="23"/>
      <c r="C149" s="31"/>
      <c r="D149" s="31"/>
    </row>
    <row r="150" spans="1:4" ht="20.25" x14ac:dyDescent="0.25">
      <c r="A150" s="100"/>
      <c r="B150" s="23"/>
      <c r="C150" s="31"/>
      <c r="D150" s="31"/>
    </row>
    <row r="151" spans="1:4" ht="20.25" x14ac:dyDescent="0.25">
      <c r="A151" s="100"/>
      <c r="B151" s="23"/>
      <c r="C151" s="31"/>
      <c r="D151" s="31"/>
    </row>
    <row r="152" spans="1:4" ht="20.25" x14ac:dyDescent="0.25">
      <c r="A152" s="100"/>
      <c r="B152" s="23"/>
      <c r="C152" s="31"/>
      <c r="D152" s="31"/>
    </row>
    <row r="153" spans="1:4" ht="20.25" x14ac:dyDescent="0.25">
      <c r="A153" s="100"/>
      <c r="B153" s="23"/>
      <c r="C153" s="31"/>
      <c r="D153" s="31"/>
    </row>
    <row r="154" spans="1:4" ht="20.25" x14ac:dyDescent="0.25">
      <c r="A154" s="100"/>
      <c r="B154" s="23"/>
      <c r="C154" s="31"/>
      <c r="D154" s="31"/>
    </row>
    <row r="155" spans="1:4" ht="20.25" x14ac:dyDescent="0.25">
      <c r="A155" s="100"/>
      <c r="B155" s="23"/>
      <c r="C155" s="31"/>
      <c r="D155" s="31"/>
    </row>
    <row r="156" spans="1:4" ht="20.25" x14ac:dyDescent="0.25">
      <c r="A156" s="100"/>
      <c r="B156" s="23"/>
      <c r="C156" s="31"/>
      <c r="D156" s="31"/>
    </row>
    <row r="157" spans="1:4" ht="20.25" x14ac:dyDescent="0.25">
      <c r="A157" s="100"/>
      <c r="B157" s="23"/>
      <c r="C157" s="31"/>
      <c r="D157" s="31"/>
    </row>
    <row r="158" spans="1:4" ht="20.25" x14ac:dyDescent="0.25">
      <c r="A158" s="100"/>
      <c r="B158" s="23"/>
      <c r="C158" s="31"/>
      <c r="D158" s="31"/>
    </row>
    <row r="159" spans="1:4" ht="20.25" x14ac:dyDescent="0.25">
      <c r="A159" s="100"/>
      <c r="B159" s="23"/>
      <c r="C159" s="31"/>
      <c r="D159" s="31"/>
    </row>
    <row r="160" spans="1:4" ht="20.25" x14ac:dyDescent="0.25">
      <c r="A160" s="100"/>
      <c r="B160" s="23"/>
      <c r="C160" s="31"/>
      <c r="D160" s="31"/>
    </row>
    <row r="161" spans="1:4" ht="20.25" x14ac:dyDescent="0.25">
      <c r="A161" s="100"/>
      <c r="B161" s="23"/>
      <c r="C161" s="31"/>
      <c r="D161" s="31"/>
    </row>
    <row r="162" spans="1:4" ht="20.25" x14ac:dyDescent="0.25">
      <c r="A162" s="100"/>
      <c r="B162" s="23"/>
      <c r="C162" s="31"/>
      <c r="D162" s="31"/>
    </row>
    <row r="163" spans="1:4" ht="20.25" x14ac:dyDescent="0.25">
      <c r="A163" s="100"/>
      <c r="B163" s="23"/>
      <c r="C163" s="31"/>
      <c r="D163" s="31"/>
    </row>
    <row r="164" spans="1:4" ht="20.25" x14ac:dyDescent="0.25">
      <c r="A164" s="100"/>
      <c r="B164" s="23"/>
      <c r="C164" s="31"/>
      <c r="D164" s="31"/>
    </row>
    <row r="165" spans="1:4" ht="20.25" x14ac:dyDescent="0.25">
      <c r="A165" s="100"/>
      <c r="B165" s="23"/>
      <c r="C165" s="31"/>
      <c r="D165" s="31"/>
    </row>
    <row r="166" spans="1:4" ht="20.25" x14ac:dyDescent="0.25">
      <c r="A166" s="100"/>
      <c r="B166" s="23"/>
      <c r="C166" s="31"/>
      <c r="D166" s="31"/>
    </row>
    <row r="167" spans="1:4" ht="20.25" x14ac:dyDescent="0.25">
      <c r="A167" s="100"/>
      <c r="B167" s="23"/>
      <c r="C167" s="31"/>
      <c r="D167" s="31"/>
    </row>
    <row r="168" spans="1:4" ht="20.25" x14ac:dyDescent="0.25">
      <c r="A168" s="100"/>
      <c r="B168" s="23"/>
      <c r="C168" s="31"/>
      <c r="D168" s="31"/>
    </row>
    <row r="169" spans="1:4" ht="20.25" x14ac:dyDescent="0.25">
      <c r="A169" s="100"/>
      <c r="B169" s="23"/>
      <c r="C169" s="31"/>
      <c r="D169" s="31"/>
    </row>
    <row r="170" spans="1:4" ht="20.25" x14ac:dyDescent="0.25">
      <c r="A170" s="100"/>
      <c r="B170" s="23"/>
      <c r="C170" s="31"/>
      <c r="D170" s="31"/>
    </row>
    <row r="171" spans="1:4" ht="20.25" x14ac:dyDescent="0.25">
      <c r="A171" s="100"/>
      <c r="B171" s="23"/>
      <c r="C171" s="31"/>
      <c r="D171" s="31"/>
    </row>
    <row r="172" spans="1:4" ht="20.25" x14ac:dyDescent="0.25">
      <c r="A172" s="100"/>
      <c r="B172" s="23"/>
      <c r="C172" s="31"/>
      <c r="D172" s="31"/>
    </row>
    <row r="173" spans="1:4" ht="20.25" x14ac:dyDescent="0.25">
      <c r="A173" s="100"/>
      <c r="B173" s="23"/>
      <c r="C173" s="31"/>
      <c r="D173" s="31"/>
    </row>
    <row r="174" spans="1:4" ht="20.25" x14ac:dyDescent="0.25">
      <c r="A174" s="100"/>
      <c r="B174" s="23"/>
      <c r="C174" s="31"/>
      <c r="D174" s="31"/>
    </row>
    <row r="175" spans="1:4" ht="20.25" x14ac:dyDescent="0.25">
      <c r="A175" s="100"/>
      <c r="B175" s="23"/>
      <c r="C175" s="31"/>
      <c r="D175" s="31"/>
    </row>
    <row r="176" spans="1:4" ht="20.25" x14ac:dyDescent="0.25">
      <c r="A176" s="100"/>
      <c r="B176" s="23"/>
      <c r="C176" s="31"/>
      <c r="D176" s="31"/>
    </row>
    <row r="177" spans="1:4" ht="20.25" x14ac:dyDescent="0.25">
      <c r="A177" s="100"/>
      <c r="B177" s="23"/>
      <c r="C177" s="31"/>
      <c r="D177" s="31"/>
    </row>
    <row r="178" spans="1:4" ht="20.25" x14ac:dyDescent="0.25">
      <c r="A178" s="100"/>
      <c r="B178" s="23"/>
      <c r="C178" s="31"/>
      <c r="D178" s="31"/>
    </row>
    <row r="179" spans="1:4" ht="20.25" x14ac:dyDescent="0.25">
      <c r="A179" s="100"/>
      <c r="B179" s="23"/>
      <c r="C179" s="31"/>
      <c r="D179" s="31"/>
    </row>
    <row r="180" spans="1:4" ht="20.25" x14ac:dyDescent="0.25">
      <c r="A180" s="100"/>
      <c r="B180" s="23"/>
      <c r="C180" s="31"/>
      <c r="D180" s="31"/>
    </row>
    <row r="181" spans="1:4" ht="20.25" x14ac:dyDescent="0.25">
      <c r="A181" s="100"/>
      <c r="B181" s="23"/>
      <c r="C181" s="31"/>
      <c r="D181" s="31"/>
    </row>
    <row r="182" spans="1:4" ht="20.25" x14ac:dyDescent="0.25">
      <c r="A182" s="100"/>
      <c r="B182" s="23"/>
      <c r="C182" s="31"/>
      <c r="D182" s="31"/>
    </row>
    <row r="183" spans="1:4" ht="20.25" x14ac:dyDescent="0.25">
      <c r="A183" s="100"/>
      <c r="B183" s="23"/>
      <c r="C183" s="31"/>
      <c r="D183" s="31"/>
    </row>
    <row r="184" spans="1:4" ht="20.25" x14ac:dyDescent="0.25">
      <c r="A184" s="100"/>
      <c r="B184" s="23"/>
      <c r="C184" s="31"/>
      <c r="D184" s="31"/>
    </row>
    <row r="185" spans="1:4" ht="20.25" x14ac:dyDescent="0.25">
      <c r="A185" s="100"/>
      <c r="B185" s="23"/>
      <c r="C185" s="31"/>
      <c r="D185" s="31"/>
    </row>
    <row r="186" spans="1:4" ht="20.25" x14ac:dyDescent="0.25">
      <c r="A186" s="100"/>
      <c r="B186" s="23"/>
      <c r="C186" s="31"/>
      <c r="D186" s="31"/>
    </row>
    <row r="187" spans="1:4" ht="20.25" x14ac:dyDescent="0.25">
      <c r="A187" s="100"/>
      <c r="B187" s="23"/>
      <c r="C187" s="31"/>
      <c r="D187" s="31"/>
    </row>
    <row r="188" spans="1:4" ht="20.25" x14ac:dyDescent="0.25">
      <c r="A188" s="100"/>
      <c r="B188" s="23"/>
      <c r="C188" s="31"/>
      <c r="D188" s="31"/>
    </row>
    <row r="189" spans="1:4" ht="20.25" x14ac:dyDescent="0.25">
      <c r="A189" s="100"/>
      <c r="B189" s="23"/>
      <c r="C189" s="31"/>
      <c r="D189" s="31"/>
    </row>
    <row r="190" spans="1:4" ht="20.25" x14ac:dyDescent="0.25">
      <c r="A190" s="100"/>
      <c r="B190" s="23"/>
      <c r="C190" s="31"/>
      <c r="D190" s="31"/>
    </row>
    <row r="191" spans="1:4" ht="20.25" x14ac:dyDescent="0.25">
      <c r="A191" s="100"/>
      <c r="B191" s="23"/>
      <c r="C191" s="31"/>
      <c r="D191" s="31"/>
    </row>
    <row r="192" spans="1:4" ht="20.25" x14ac:dyDescent="0.25">
      <c r="A192" s="100"/>
      <c r="B192" s="23"/>
      <c r="C192" s="31"/>
      <c r="D192" s="31"/>
    </row>
    <row r="193" spans="1:4" ht="20.25" x14ac:dyDescent="0.25">
      <c r="A193" s="100"/>
      <c r="B193" s="23"/>
      <c r="C193" s="31"/>
      <c r="D193" s="31"/>
    </row>
    <row r="194" spans="1:4" ht="20.25" x14ac:dyDescent="0.25">
      <c r="A194" s="100"/>
      <c r="B194" s="23"/>
      <c r="C194" s="31"/>
      <c r="D194" s="31"/>
    </row>
    <row r="195" spans="1:4" ht="20.25" x14ac:dyDescent="0.25">
      <c r="A195" s="100"/>
      <c r="B195" s="23"/>
      <c r="C195" s="31"/>
      <c r="D195" s="31"/>
    </row>
    <row r="196" spans="1:4" ht="20.25" x14ac:dyDescent="0.25">
      <c r="A196" s="100"/>
      <c r="B196" s="23"/>
      <c r="C196" s="31"/>
      <c r="D196" s="31"/>
    </row>
    <row r="197" spans="1:4" ht="20.25" x14ac:dyDescent="0.25">
      <c r="A197" s="100"/>
      <c r="B197" s="23"/>
      <c r="C197" s="31"/>
      <c r="D197" s="31"/>
    </row>
    <row r="198" spans="1:4" ht="20.25" x14ac:dyDescent="0.25">
      <c r="A198" s="100"/>
      <c r="B198" s="23"/>
      <c r="C198" s="31"/>
      <c r="D198" s="31"/>
    </row>
    <row r="199" spans="1:4" ht="20.25" x14ac:dyDescent="0.25">
      <c r="A199" s="100"/>
      <c r="B199" s="23"/>
      <c r="C199" s="31"/>
      <c r="D199" s="31"/>
    </row>
    <row r="200" spans="1:4" ht="20.25" x14ac:dyDescent="0.25">
      <c r="A200" s="100"/>
      <c r="B200" s="23"/>
      <c r="C200" s="31"/>
      <c r="D200" s="31"/>
    </row>
    <row r="201" spans="1:4" ht="20.25" x14ac:dyDescent="0.25">
      <c r="A201" s="100"/>
      <c r="B201" s="23"/>
      <c r="C201" s="31"/>
      <c r="D201" s="31"/>
    </row>
    <row r="202" spans="1:4" ht="20.25" x14ac:dyDescent="0.25">
      <c r="A202" s="100"/>
      <c r="B202" s="23"/>
      <c r="C202" s="31"/>
      <c r="D202" s="31"/>
    </row>
    <row r="203" spans="1:4" ht="20.25" x14ac:dyDescent="0.25">
      <c r="A203" s="100"/>
      <c r="B203" s="23"/>
      <c r="C203" s="31"/>
      <c r="D203" s="31"/>
    </row>
    <row r="204" spans="1:4" ht="20.25" x14ac:dyDescent="0.25">
      <c r="A204" s="100"/>
      <c r="B204" s="23"/>
      <c r="C204" s="31"/>
      <c r="D204" s="31"/>
    </row>
    <row r="205" spans="1:4" ht="20.25" x14ac:dyDescent="0.25">
      <c r="A205" s="100"/>
      <c r="B205" s="23"/>
      <c r="C205" s="31"/>
      <c r="D205" s="31"/>
    </row>
    <row r="206" spans="1:4" ht="20.25" x14ac:dyDescent="0.25">
      <c r="A206" s="100"/>
      <c r="B206" s="23"/>
      <c r="C206" s="31"/>
      <c r="D206" s="31"/>
    </row>
    <row r="207" spans="1:4" ht="20.25" x14ac:dyDescent="0.25">
      <c r="A207" s="100"/>
      <c r="B207" s="23"/>
      <c r="C207" s="31"/>
      <c r="D207" s="31"/>
    </row>
    <row r="208" spans="1:4" x14ac:dyDescent="0.25">
      <c r="A208" s="80"/>
      <c r="B208" s="23"/>
      <c r="C208" s="23"/>
      <c r="D208" s="23"/>
    </row>
    <row r="209" spans="1:8" ht="20.25" x14ac:dyDescent="0.25">
      <c r="A209" s="80"/>
      <c r="B209" s="27" t="s">
        <v>88</v>
      </c>
      <c r="C209" s="27" t="s">
        <v>145</v>
      </c>
      <c r="D209" s="30" t="s">
        <v>88</v>
      </c>
      <c r="E209" s="30" t="s">
        <v>145</v>
      </c>
    </row>
    <row r="210" spans="1:8" ht="21" x14ac:dyDescent="0.35">
      <c r="A210" s="80"/>
      <c r="B210" s="28" t="s">
        <v>90</v>
      </c>
      <c r="C210" s="28"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str">
        <f t="array" ref="B221:B223">_xlfn.UNIQUE(Tabla1[[#All],[Criterios]])</f>
        <v>Criterios</v>
      </c>
      <c r="C221" s="29"/>
      <c r="E221" t="s">
        <v>118</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147</v>
      </c>
    </row>
    <row r="224" spans="1:8" x14ac:dyDescent="0.25">
      <c r="B224" s="22"/>
      <c r="C224" s="22"/>
      <c r="F224" s="32"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B1:F16"/>
  <sheetViews>
    <sheetView topLeftCell="A4" workbookViewId="0">
      <selection activeCell="E10" sqref="E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399" t="s">
        <v>78</v>
      </c>
      <c r="C1" s="400"/>
      <c r="D1" s="400"/>
      <c r="E1" s="400"/>
      <c r="F1" s="401"/>
    </row>
    <row r="2" spans="2:6" ht="16.5" thickBot="1" x14ac:dyDescent="0.3">
      <c r="B2" s="86"/>
      <c r="C2" s="86"/>
      <c r="D2" s="86"/>
      <c r="E2" s="86"/>
      <c r="F2" s="86"/>
    </row>
    <row r="3" spans="2:6" ht="16.5" thickBot="1" x14ac:dyDescent="0.25">
      <c r="B3" s="403" t="s">
        <v>64</v>
      </c>
      <c r="C3" s="404"/>
      <c r="D3" s="404"/>
      <c r="E3" s="98" t="s">
        <v>65</v>
      </c>
      <c r="F3" s="99" t="s">
        <v>66</v>
      </c>
    </row>
    <row r="4" spans="2:6" ht="31.5" x14ac:dyDescent="0.2">
      <c r="B4" s="405" t="s">
        <v>67</v>
      </c>
      <c r="C4" s="407" t="s">
        <v>13</v>
      </c>
      <c r="D4" s="87" t="s">
        <v>14</v>
      </c>
      <c r="E4" s="88" t="s">
        <v>68</v>
      </c>
      <c r="F4" s="89">
        <v>0.25</v>
      </c>
    </row>
    <row r="5" spans="2:6" ht="47.25" x14ac:dyDescent="0.2">
      <c r="B5" s="406"/>
      <c r="C5" s="408"/>
      <c r="D5" s="90" t="s">
        <v>15</v>
      </c>
      <c r="E5" s="91" t="s">
        <v>69</v>
      </c>
      <c r="F5" s="92">
        <v>0.15</v>
      </c>
    </row>
    <row r="6" spans="2:6" ht="47.25" x14ac:dyDescent="0.2">
      <c r="B6" s="406"/>
      <c r="C6" s="408"/>
      <c r="D6" s="90" t="s">
        <v>16</v>
      </c>
      <c r="E6" s="91" t="s">
        <v>70</v>
      </c>
      <c r="F6" s="92">
        <v>0.1</v>
      </c>
    </row>
    <row r="7" spans="2:6" ht="63" x14ac:dyDescent="0.2">
      <c r="B7" s="406"/>
      <c r="C7" s="408" t="s">
        <v>17</v>
      </c>
      <c r="D7" s="90" t="s">
        <v>10</v>
      </c>
      <c r="E7" s="91" t="s">
        <v>71</v>
      </c>
      <c r="F7" s="92">
        <v>0.25</v>
      </c>
    </row>
    <row r="8" spans="2:6" ht="31.5" x14ac:dyDescent="0.2">
      <c r="B8" s="406"/>
      <c r="C8" s="408"/>
      <c r="D8" s="90" t="s">
        <v>9</v>
      </c>
      <c r="E8" s="91" t="s">
        <v>72</v>
      </c>
      <c r="F8" s="92">
        <v>0.15</v>
      </c>
    </row>
    <row r="9" spans="2:6" ht="47.25" x14ac:dyDescent="0.2">
      <c r="B9" s="406" t="s">
        <v>162</v>
      </c>
      <c r="C9" s="408" t="s">
        <v>18</v>
      </c>
      <c r="D9" s="90" t="s">
        <v>19</v>
      </c>
      <c r="E9" s="91" t="s">
        <v>73</v>
      </c>
      <c r="F9" s="93" t="s">
        <v>74</v>
      </c>
    </row>
    <row r="10" spans="2:6" ht="63" x14ac:dyDescent="0.2">
      <c r="B10" s="406"/>
      <c r="C10" s="408"/>
      <c r="D10" s="90" t="s">
        <v>20</v>
      </c>
      <c r="E10" s="91" t="s">
        <v>75</v>
      </c>
      <c r="F10" s="93" t="s">
        <v>74</v>
      </c>
    </row>
    <row r="11" spans="2:6" ht="47.25" x14ac:dyDescent="0.2">
      <c r="B11" s="406"/>
      <c r="C11" s="408" t="s">
        <v>21</v>
      </c>
      <c r="D11" s="90" t="s">
        <v>22</v>
      </c>
      <c r="E11" s="91" t="s">
        <v>76</v>
      </c>
      <c r="F11" s="93" t="s">
        <v>74</v>
      </c>
    </row>
    <row r="12" spans="2:6" ht="47.25" x14ac:dyDescent="0.2">
      <c r="B12" s="406"/>
      <c r="C12" s="408"/>
      <c r="D12" s="90" t="s">
        <v>23</v>
      </c>
      <c r="E12" s="91" t="s">
        <v>77</v>
      </c>
      <c r="F12" s="93" t="s">
        <v>74</v>
      </c>
    </row>
    <row r="13" spans="2:6" ht="31.5" x14ac:dyDescent="0.2">
      <c r="B13" s="406"/>
      <c r="C13" s="408" t="s">
        <v>24</v>
      </c>
      <c r="D13" s="90" t="s">
        <v>119</v>
      </c>
      <c r="E13" s="91" t="s">
        <v>122</v>
      </c>
      <c r="F13" s="93" t="s">
        <v>74</v>
      </c>
    </row>
    <row r="14" spans="2:6" ht="32.25" thickBot="1" x14ac:dyDescent="0.25">
      <c r="B14" s="409"/>
      <c r="C14" s="410"/>
      <c r="D14" s="94" t="s">
        <v>120</v>
      </c>
      <c r="E14" s="95" t="s">
        <v>121</v>
      </c>
      <c r="F14" s="96" t="s">
        <v>74</v>
      </c>
    </row>
    <row r="15" spans="2:6" ht="49.5" customHeight="1" x14ac:dyDescent="0.2">
      <c r="B15" s="402" t="s">
        <v>159</v>
      </c>
      <c r="C15" s="402"/>
      <c r="D15" s="402"/>
      <c r="E15" s="402"/>
      <c r="F15" s="402"/>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Residual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cp:lastPrinted>2020-05-13T01:12:22Z</cp:lastPrinted>
  <dcterms:created xsi:type="dcterms:W3CDTF">2020-03-24T23:12:47Z</dcterms:created>
  <dcterms:modified xsi:type="dcterms:W3CDTF">2023-08-09T00:03:42Z</dcterms:modified>
</cp:coreProperties>
</file>