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8033D72A-C068-40A9-9090-1F2A9D943F0A}"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Residual" sheetId="19"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5" i="1" l="1"/>
  <c r="T45" i="1"/>
  <c r="T28" i="1"/>
  <c r="Q38" i="1"/>
  <c r="Q17" i="1"/>
  <c r="Q16" i="1"/>
  <c r="Q18" i="1"/>
  <c r="K17" i="1"/>
  <c r="T17" i="1"/>
  <c r="K18" i="1"/>
  <c r="T18" i="1"/>
  <c r="K15" i="1"/>
  <c r="Q15" i="1"/>
  <c r="T15" i="1"/>
  <c r="K14" i="1"/>
  <c r="Q14" i="1"/>
  <c r="T14" i="1"/>
  <c r="X45" i="1" l="1"/>
  <c r="Z45" i="1" s="1"/>
  <c r="Y45" i="1"/>
  <c r="AB45" i="1"/>
  <c r="AA45" i="1" s="1"/>
  <c r="X15" i="1"/>
  <c r="Y15" i="1" s="1"/>
  <c r="AB15" i="1"/>
  <c r="AA15" i="1" s="1"/>
  <c r="T10" i="1"/>
  <c r="Q10" i="1"/>
  <c r="H10" i="1"/>
  <c r="I10" i="1" s="1"/>
  <c r="K54" i="1"/>
  <c r="K51" i="1"/>
  <c r="K49" i="1"/>
  <c r="K29" i="1"/>
  <c r="K61" i="1"/>
  <c r="K41" i="1"/>
  <c r="K52" i="1"/>
  <c r="K46" i="1"/>
  <c r="K28" i="1"/>
  <c r="K36" i="1"/>
  <c r="K40" i="1"/>
  <c r="K26" i="1"/>
  <c r="K33" i="1"/>
  <c r="K55" i="1"/>
  <c r="K39" i="1"/>
  <c r="K48" i="1"/>
  <c r="K37" i="1"/>
  <c r="K23" i="1"/>
  <c r="K57" i="1"/>
  <c r="K42" i="1"/>
  <c r="K58" i="1"/>
  <c r="K35" i="1"/>
  <c r="K21" i="1"/>
  <c r="K19" i="1"/>
  <c r="K47" i="1"/>
  <c r="K30" i="1"/>
  <c r="K25" i="1"/>
  <c r="K31" i="1"/>
  <c r="K20" i="1"/>
  <c r="K34" i="1"/>
  <c r="K59" i="1"/>
  <c r="K60" i="1"/>
  <c r="K45" i="1"/>
  <c r="K24" i="1"/>
  <c r="K43" i="1"/>
  <c r="K53" i="1"/>
  <c r="AC45" i="1" l="1"/>
  <c r="Z15" i="1"/>
  <c r="AC15" i="1"/>
  <c r="F221" i="13"/>
  <c r="F211" i="13"/>
  <c r="F212" i="13"/>
  <c r="F213" i="13"/>
  <c r="F214" i="13"/>
  <c r="F215" i="13"/>
  <c r="F216" i="13"/>
  <c r="F217" i="13"/>
  <c r="F218" i="13"/>
  <c r="F219" i="13"/>
  <c r="F220" i="13"/>
  <c r="F210" i="13"/>
  <c r="K11" i="1"/>
  <c r="K12" i="1"/>
  <c r="B221" i="13" a="1"/>
  <c r="K13" i="1"/>
  <c r="B221" i="13" l="1"/>
  <c r="Q44" i="1"/>
  <c r="Q3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61" i="1" l="1"/>
  <c r="Q61" i="1"/>
  <c r="T60" i="1"/>
  <c r="Q60" i="1"/>
  <c r="T59" i="1"/>
  <c r="Q59" i="1"/>
  <c r="T58" i="1"/>
  <c r="Q58" i="1"/>
  <c r="T57" i="1"/>
  <c r="Q57" i="1"/>
  <c r="T56" i="1"/>
  <c r="Q56" i="1"/>
  <c r="H56" i="1"/>
  <c r="I56" i="1" s="1"/>
  <c r="T55" i="1"/>
  <c r="Q55" i="1"/>
  <c r="T54" i="1"/>
  <c r="Q54" i="1"/>
  <c r="T53" i="1"/>
  <c r="Q53" i="1"/>
  <c r="T52" i="1"/>
  <c r="Q52" i="1"/>
  <c r="T51" i="1"/>
  <c r="Q51" i="1"/>
  <c r="T50" i="1"/>
  <c r="Q50" i="1"/>
  <c r="H50" i="1"/>
  <c r="I50" i="1" s="1"/>
  <c r="T49" i="1"/>
  <c r="Q49" i="1"/>
  <c r="T48" i="1"/>
  <c r="Q48" i="1"/>
  <c r="T47" i="1"/>
  <c r="Q47" i="1"/>
  <c r="T46" i="1"/>
  <c r="Q46" i="1"/>
  <c r="T44" i="1"/>
  <c r="H44" i="1"/>
  <c r="I44" i="1" s="1"/>
  <c r="T43" i="1"/>
  <c r="Q43" i="1"/>
  <c r="T42" i="1"/>
  <c r="Q42" i="1"/>
  <c r="T41" i="1"/>
  <c r="Q41" i="1"/>
  <c r="T40" i="1"/>
  <c r="Q40" i="1"/>
  <c r="T39" i="1"/>
  <c r="T38" i="1"/>
  <c r="AB39" i="1"/>
  <c r="H38" i="1"/>
  <c r="T37" i="1"/>
  <c r="Q37" i="1"/>
  <c r="T36" i="1"/>
  <c r="Q36" i="1"/>
  <c r="T35" i="1"/>
  <c r="Q35" i="1"/>
  <c r="T34" i="1"/>
  <c r="Q34" i="1"/>
  <c r="T33" i="1"/>
  <c r="Q33" i="1"/>
  <c r="T32" i="1"/>
  <c r="Q32" i="1"/>
  <c r="H32" i="1"/>
  <c r="I32" i="1" s="1"/>
  <c r="T31" i="1"/>
  <c r="Q31" i="1"/>
  <c r="T30" i="1"/>
  <c r="Q30" i="1"/>
  <c r="T29" i="1"/>
  <c r="Q29" i="1"/>
  <c r="Q28" i="1"/>
  <c r="T27" i="1"/>
  <c r="Q27" i="1"/>
  <c r="H27" i="1"/>
  <c r="I27" i="1" s="1"/>
  <c r="T26" i="1"/>
  <c r="Q26" i="1"/>
  <c r="T25" i="1"/>
  <c r="Q25" i="1"/>
  <c r="T24" i="1"/>
  <c r="Q24" i="1"/>
  <c r="T23" i="1"/>
  <c r="Q23" i="1"/>
  <c r="T22" i="1"/>
  <c r="Q22" i="1"/>
  <c r="H22" i="1"/>
  <c r="I22" i="1" s="1"/>
  <c r="H16" i="1"/>
  <c r="Q13" i="1"/>
  <c r="T21" i="1"/>
  <c r="Q21" i="1"/>
  <c r="T20" i="1"/>
  <c r="Q20" i="1"/>
  <c r="T19" i="1"/>
  <c r="Q19" i="1"/>
  <c r="T16" i="1"/>
  <c r="I38" i="1" l="1"/>
  <c r="X14" i="1"/>
  <c r="AB14" i="1"/>
  <c r="AA14" i="1" s="1"/>
  <c r="AB57" i="1"/>
  <c r="AB33" i="1"/>
  <c r="AB51" i="1"/>
  <c r="AB42" i="1"/>
  <c r="AA42" i="1" s="1"/>
  <c r="AB43" i="1"/>
  <c r="AA43" i="1" s="1"/>
  <c r="I16" i="1"/>
  <c r="X16" i="1" s="1"/>
  <c r="X56" i="1"/>
  <c r="X50" i="1"/>
  <c r="X44" i="1"/>
  <c r="X38" i="1"/>
  <c r="X42" i="1"/>
  <c r="X43" i="1"/>
  <c r="X32" i="1"/>
  <c r="X27" i="1"/>
  <c r="X22" i="1"/>
  <c r="Y14" i="1" l="1"/>
  <c r="AC14" i="1" s="1"/>
  <c r="Z14" i="1"/>
  <c r="Y56" i="1"/>
  <c r="Z56" i="1"/>
  <c r="X57" i="1" s="1"/>
  <c r="Y57" i="1" s="1"/>
  <c r="Y50" i="1"/>
  <c r="Z50" i="1"/>
  <c r="X51" i="1" s="1"/>
  <c r="Z51" i="1" s="1"/>
  <c r="X52" i="1" s="1"/>
  <c r="Y44" i="1"/>
  <c r="Z44" i="1"/>
  <c r="X46" i="1" s="1"/>
  <c r="Y43" i="1"/>
  <c r="Z43" i="1"/>
  <c r="Y42" i="1"/>
  <c r="Z42" i="1"/>
  <c r="Y38" i="1"/>
  <c r="Z38" i="1"/>
  <c r="Y32" i="1"/>
  <c r="Z32" i="1"/>
  <c r="Y27" i="1"/>
  <c r="Z27" i="1"/>
  <c r="X28" i="1" s="1"/>
  <c r="Y28" i="1" s="1"/>
  <c r="Y22" i="1"/>
  <c r="Z22" i="1"/>
  <c r="Y16" i="1"/>
  <c r="Z16" i="1"/>
  <c r="X17" i="1" s="1"/>
  <c r="Y17" i="1" l="1"/>
  <c r="Z17" i="1"/>
  <c r="X18" i="1" s="1"/>
  <c r="Y51" i="1"/>
  <c r="X23" i="1"/>
  <c r="Y23" i="1" s="1"/>
  <c r="Z52" i="1"/>
  <c r="X53" i="1" s="1"/>
  <c r="Y52" i="1"/>
  <c r="Z46" i="1"/>
  <c r="X47" i="1" s="1"/>
  <c r="Y46" i="1"/>
  <c r="Z57" i="1"/>
  <c r="X58" i="1" s="1"/>
  <c r="X33" i="1"/>
  <c r="X39" i="1"/>
  <c r="X40" i="1"/>
  <c r="Z2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2" i="1"/>
  <c r="AC43" i="1"/>
  <c r="T11" i="1"/>
  <c r="T12" i="1"/>
  <c r="T13" i="1"/>
  <c r="Y18" i="1" l="1"/>
  <c r="Z18" i="1"/>
  <c r="Y53" i="1"/>
  <c r="Z53" i="1"/>
  <c r="Y47" i="1"/>
  <c r="Z47" i="1"/>
  <c r="X48" i="1" s="1"/>
  <c r="Z23" i="1"/>
  <c r="X24" i="1" s="1"/>
  <c r="Z24" i="1" s="1"/>
  <c r="Y40" i="1"/>
  <c r="Z40" i="1"/>
  <c r="X41" i="1" s="1"/>
  <c r="Y58" i="1"/>
  <c r="Z58" i="1"/>
  <c r="X59" i="1" s="1"/>
  <c r="Y39" i="1"/>
  <c r="Z39" i="1"/>
  <c r="Y33" i="1"/>
  <c r="Z33" i="1"/>
  <c r="X34" i="1" s="1"/>
  <c r="Y34" i="1" s="1"/>
  <c r="X30" i="1"/>
  <c r="Y30" i="1" s="1"/>
  <c r="X29" i="1"/>
  <c r="Z34" i="1" l="1"/>
  <c r="X35" i="1" s="1"/>
  <c r="Z35" i="1" s="1"/>
  <c r="X36" i="1" s="1"/>
  <c r="Y48" i="1"/>
  <c r="Z48" i="1"/>
  <c r="X49" i="1" s="1"/>
  <c r="X54" i="1"/>
  <c r="X55" i="1"/>
  <c r="Y24" i="1"/>
  <c r="Y41" i="1"/>
  <c r="Z41" i="1"/>
  <c r="X25" i="1"/>
  <c r="Z59" i="1"/>
  <c r="Y59" i="1"/>
  <c r="Y29" i="1"/>
  <c r="Z29" i="1"/>
  <c r="Z30" i="1"/>
  <c r="X31" i="1" s="1"/>
  <c r="X19" i="1"/>
  <c r="Y19" i="1" s="1"/>
  <c r="Q12" i="1"/>
  <c r="Y35" i="1" l="1"/>
  <c r="Y55" i="1"/>
  <c r="Z55" i="1"/>
  <c r="Y54" i="1"/>
  <c r="Z54" i="1"/>
  <c r="Y49" i="1"/>
  <c r="Z49" i="1"/>
  <c r="X60" i="1"/>
  <c r="X61" i="1"/>
  <c r="Z36" i="1"/>
  <c r="X37" i="1" s="1"/>
  <c r="Y36" i="1"/>
  <c r="Y25" i="1"/>
  <c r="Z25" i="1"/>
  <c r="X26" i="1" s="1"/>
  <c r="Y26" i="1" s="1"/>
  <c r="Y31" i="1"/>
  <c r="Z31" i="1"/>
  <c r="Z19" i="1"/>
  <c r="X20" i="1" s="1"/>
  <c r="Z20" i="1" s="1"/>
  <c r="X21" i="1" s="1"/>
  <c r="X10" i="1"/>
  <c r="Y10" i="1" s="1"/>
  <c r="Y61" i="1" l="1"/>
  <c r="Z61" i="1"/>
  <c r="Y60" i="1"/>
  <c r="Z60" i="1"/>
  <c r="Y37" i="1"/>
  <c r="Z37" i="1"/>
  <c r="Z26" i="1"/>
  <c r="Y20" i="1"/>
  <c r="Y21" i="1"/>
  <c r="Z21" i="1"/>
  <c r="Q11" i="1"/>
  <c r="Z10" i="1" l="1"/>
  <c r="X11" i="1" s="1"/>
  <c r="Y11" i="1" l="1"/>
  <c r="Z11" i="1" l="1"/>
  <c r="X12" i="1" s="1"/>
  <c r="Y12" i="1" s="1"/>
  <c r="Z12" i="1" l="1"/>
  <c r="X13" i="1" s="1"/>
  <c r="Z13" i="1" l="1"/>
  <c r="Y13" i="1" l="1"/>
  <c r="AB58" i="1" l="1"/>
  <c r="AB50" i="1"/>
  <c r="AB23" i="1" l="1"/>
  <c r="AA50" i="1"/>
  <c r="AA57" i="1"/>
  <c r="AA58" i="1"/>
  <c r="AB59" i="1"/>
  <c r="AB34" i="1"/>
  <c r="AA33" i="1"/>
  <c r="AB40" i="1"/>
  <c r="AA40" i="1" s="1"/>
  <c r="AB41" i="1"/>
  <c r="AA41" i="1" s="1"/>
  <c r="AA39" i="1"/>
  <c r="AB46" i="1"/>
  <c r="AA51" i="1"/>
  <c r="AB52" i="1"/>
  <c r="AA59" i="1" l="1"/>
  <c r="AB60" i="1"/>
  <c r="K35" i="19"/>
  <c r="AC25" i="19"/>
  <c r="K45" i="19"/>
  <c r="AI45" i="19"/>
  <c r="W45" i="19"/>
  <c r="Q35" i="19"/>
  <c r="K55" i="19"/>
  <c r="AC15" i="19"/>
  <c r="Q15" i="19"/>
  <c r="AC35" i="19"/>
  <c r="AI35" i="19"/>
  <c r="Q55" i="19"/>
  <c r="AI25" i="19"/>
  <c r="AC57"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1" i="1"/>
  <c r="K44" i="19"/>
  <c r="Q34" i="19"/>
  <c r="W34" i="19"/>
  <c r="K14" i="19"/>
  <c r="W54" i="19"/>
  <c r="K34" i="19"/>
  <c r="AC34" i="19"/>
  <c r="AD55" i="19"/>
  <c r="R15" i="19"/>
  <c r="AJ35" i="19"/>
  <c r="AC58"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0" i="1"/>
  <c r="AD12" i="19"/>
  <c r="AD32" i="19"/>
  <c r="AD22" i="19"/>
  <c r="X52" i="19"/>
  <c r="AD52" i="19"/>
  <c r="L42" i="19"/>
  <c r="R42" i="19"/>
  <c r="AB19" i="1"/>
  <c r="AA46" i="1"/>
  <c r="AB47" i="1"/>
  <c r="K42" i="19"/>
  <c r="AC32" i="19"/>
  <c r="W42" i="19"/>
  <c r="AI52" i="19"/>
  <c r="K22" i="19"/>
  <c r="Q32" i="19"/>
  <c r="AI12" i="19"/>
  <c r="AC52" i="19"/>
  <c r="Q42" i="19"/>
  <c r="AC42" i="19"/>
  <c r="K12" i="19"/>
  <c r="Q22" i="19"/>
  <c r="W52" i="19"/>
  <c r="AI42" i="19"/>
  <c r="W32" i="19"/>
  <c r="AI22" i="19"/>
  <c r="W12" i="19"/>
  <c r="AI32" i="19"/>
  <c r="AC12" i="19"/>
  <c r="Q12" i="19"/>
  <c r="Q52" i="19"/>
  <c r="AC39" i="1"/>
  <c r="K32" i="19"/>
  <c r="W22" i="19"/>
  <c r="K52" i="19"/>
  <c r="AC22" i="19"/>
  <c r="AC40" i="19"/>
  <c r="W10" i="19"/>
  <c r="AC50" i="19"/>
  <c r="Q10" i="19"/>
  <c r="Q30" i="19"/>
  <c r="W50" i="19"/>
  <c r="K40" i="19"/>
  <c r="Q50" i="19"/>
  <c r="W20" i="19"/>
  <c r="AC33" i="1"/>
  <c r="K10" i="19"/>
  <c r="Q40" i="19"/>
  <c r="K30" i="19"/>
  <c r="AI50" i="19"/>
  <c r="AI20" i="19"/>
  <c r="K50" i="19"/>
  <c r="AI40" i="19"/>
  <c r="W40" i="19"/>
  <c r="K20" i="19"/>
  <c r="AC10" i="19"/>
  <c r="AI10" i="19"/>
  <c r="AC20" i="19"/>
  <c r="AI30" i="19"/>
  <c r="AC30" i="19"/>
  <c r="W30" i="19"/>
  <c r="Q20" i="19"/>
  <c r="AB24" i="1"/>
  <c r="AA23" i="1"/>
  <c r="AA52" i="1"/>
  <c r="AB53"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AC41" i="1"/>
  <c r="M52" i="19"/>
  <c r="S12" i="19"/>
  <c r="M32" i="19"/>
  <c r="S52" i="19"/>
  <c r="Y52" i="19"/>
  <c r="Y42" i="19"/>
  <c r="AK12" i="19"/>
  <c r="S22" i="19"/>
  <c r="AE12" i="19"/>
  <c r="Y22" i="19"/>
  <c r="S32" i="19"/>
  <c r="AK52" i="19"/>
  <c r="M22" i="19"/>
  <c r="AK32" i="19"/>
  <c r="AE22" i="19"/>
  <c r="AE42" i="19"/>
  <c r="Y32" i="19"/>
  <c r="M42" i="19"/>
  <c r="Y12" i="19"/>
  <c r="AE52" i="19"/>
  <c r="AK22" i="19"/>
  <c r="S42" i="19"/>
  <c r="AA34" i="1"/>
  <c r="AB35" i="1"/>
  <c r="AB13" i="1"/>
  <c r="AA13" i="1" s="1"/>
  <c r="R40" i="19" l="1"/>
  <c r="AD10" i="19"/>
  <c r="X40" i="19"/>
  <c r="AJ10" i="19"/>
  <c r="R50" i="19"/>
  <c r="X10" i="19"/>
  <c r="R30" i="19"/>
  <c r="AC34" i="1"/>
  <c r="L10" i="19"/>
  <c r="L50" i="19"/>
  <c r="AJ20" i="19"/>
  <c r="AJ40" i="19"/>
  <c r="AD30" i="19"/>
  <c r="R20" i="19"/>
  <c r="AD50" i="19"/>
  <c r="AJ30" i="19"/>
  <c r="AJ50" i="19"/>
  <c r="X30" i="19"/>
  <c r="AD20" i="19"/>
  <c r="L40" i="19"/>
  <c r="X50" i="19"/>
  <c r="X20" i="19"/>
  <c r="AD40" i="19"/>
  <c r="R10" i="19"/>
  <c r="L30" i="19"/>
  <c r="L20" i="19"/>
  <c r="AA47" i="1"/>
  <c r="AB48" i="1"/>
  <c r="AA60" i="1"/>
  <c r="AB61" i="1"/>
  <c r="AA61" i="1" s="1"/>
  <c r="AB25" i="1"/>
  <c r="AA25" i="1" s="1"/>
  <c r="AA24" i="1"/>
  <c r="AB26" i="1"/>
  <c r="AA26" i="1" s="1"/>
  <c r="AJ43" i="19"/>
  <c r="AD33" i="19"/>
  <c r="X33" i="19"/>
  <c r="X13" i="19"/>
  <c r="AD43" i="19"/>
  <c r="L43" i="19"/>
  <c r="AC46"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59"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3"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53" i="1"/>
  <c r="AB54" i="1"/>
  <c r="AB30" i="1"/>
  <c r="AA30" i="1" s="1"/>
  <c r="AB31" i="1"/>
  <c r="AA31" i="1" s="1"/>
  <c r="AA35" i="1"/>
  <c r="AB36"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52" i="1"/>
  <c r="X34" i="19"/>
  <c r="L14" i="19"/>
  <c r="AD14" i="19"/>
  <c r="L44" i="19"/>
  <c r="R44" i="19"/>
  <c r="AD54" i="19"/>
  <c r="X14" i="19"/>
  <c r="AJ44" i="19"/>
  <c r="R34" i="19"/>
  <c r="AJ54" i="19"/>
  <c r="L24" i="19"/>
  <c r="AA36" i="1" l="1"/>
  <c r="AB37" i="1"/>
  <c r="AA37" i="1" s="1"/>
  <c r="AG39" i="19"/>
  <c r="AG29" i="19"/>
  <c r="AM19" i="19"/>
  <c r="O39" i="19"/>
  <c r="AC31"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3"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4" i="1"/>
  <c r="AE28" i="19"/>
  <c r="AA55" i="19"/>
  <c r="O45" i="19"/>
  <c r="AA15" i="19"/>
  <c r="AM55" i="19"/>
  <c r="O55" i="19"/>
  <c r="AG35" i="19"/>
  <c r="AM25" i="19"/>
  <c r="AM35" i="19"/>
  <c r="AA25" i="19"/>
  <c r="AM45" i="19"/>
  <c r="AG25" i="19"/>
  <c r="AA35" i="19"/>
  <c r="O25" i="19"/>
  <c r="U25" i="19"/>
  <c r="AG45" i="19"/>
  <c r="U35" i="19"/>
  <c r="AA45" i="19"/>
  <c r="AM15" i="19"/>
  <c r="U45" i="19"/>
  <c r="O35" i="19"/>
  <c r="O15" i="19"/>
  <c r="AC61" i="1"/>
  <c r="AG15" i="19"/>
  <c r="U15" i="19"/>
  <c r="AG55" i="19"/>
  <c r="U55" i="19"/>
  <c r="AE40" i="19"/>
  <c r="Y30" i="19"/>
  <c r="M20" i="19"/>
  <c r="AC35"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0" i="1"/>
  <c r="T19" i="19"/>
  <c r="AL49" i="19"/>
  <c r="T29" i="19"/>
  <c r="AF29" i="19"/>
  <c r="T18" i="19"/>
  <c r="N48" i="19"/>
  <c r="N8" i="19"/>
  <c r="T28" i="19"/>
  <c r="AF38" i="19"/>
  <c r="Z28" i="19"/>
  <c r="Z18" i="19"/>
  <c r="AF8" i="19"/>
  <c r="AC25"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0" i="1"/>
  <c r="N15" i="19"/>
  <c r="AF55" i="19"/>
  <c r="N55" i="19"/>
  <c r="Z15" i="19"/>
  <c r="AF35" i="19"/>
  <c r="AA48" i="1"/>
  <c r="AB49" i="1"/>
  <c r="AA49"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4" i="1"/>
  <c r="AB55" i="1"/>
  <c r="AA55"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6"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5" i="1"/>
  <c r="AA14" i="19"/>
  <c r="O54" i="19"/>
  <c r="U44" i="19"/>
  <c r="U43" i="19"/>
  <c r="U13" i="19"/>
  <c r="AM53" i="19"/>
  <c r="AA53" i="19"/>
  <c r="AA43" i="19"/>
  <c r="O53" i="19"/>
  <c r="O23" i="19"/>
  <c r="O13" i="19"/>
  <c r="AG43" i="19"/>
  <c r="U33" i="19"/>
  <c r="U23" i="19"/>
  <c r="AM13" i="19"/>
  <c r="AM23" i="19"/>
  <c r="AG13" i="19"/>
  <c r="AA23" i="19"/>
  <c r="AG33" i="19"/>
  <c r="AA33" i="19"/>
  <c r="AM33" i="19"/>
  <c r="AA13" i="19"/>
  <c r="AC4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4" i="1"/>
  <c r="AF53" i="19"/>
  <c r="T43" i="19"/>
  <c r="Z53" i="19"/>
  <c r="N43" i="19"/>
  <c r="T23" i="19"/>
  <c r="AF43" i="19"/>
  <c r="Z13" i="19"/>
  <c r="Z43" i="19"/>
  <c r="AF23" i="19"/>
  <c r="AL13" i="19"/>
  <c r="Z23" i="19"/>
  <c r="AL43" i="19"/>
  <c r="AF13" i="19"/>
  <c r="AL23" i="19"/>
  <c r="N13" i="19"/>
  <c r="T33" i="19"/>
  <c r="AL53" i="19"/>
  <c r="N23" i="19"/>
  <c r="N53" i="19"/>
  <c r="AF33" i="19"/>
  <c r="N33" i="19"/>
  <c r="AC48"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7"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6"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K27" i="1"/>
  <c r="L27" i="1" s="1"/>
  <c r="K22" i="1"/>
  <c r="L22" i="1" s="1"/>
  <c r="K44" i="1"/>
  <c r="L44" i="1" s="1"/>
  <c r="K38" i="1"/>
  <c r="L38" i="1" s="1"/>
  <c r="K32" i="1"/>
  <c r="L32" i="1" s="1"/>
  <c r="K16" i="1"/>
  <c r="L16" i="1" s="1"/>
  <c r="K56" i="1"/>
  <c r="L56" i="1" s="1"/>
  <c r="K50" i="1"/>
  <c r="L50" i="1" s="1"/>
  <c r="M38" i="1" l="1"/>
  <c r="N38" i="1"/>
  <c r="X6" i="18"/>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2" i="1"/>
  <c r="L32" i="18"/>
  <c r="X8" i="18"/>
  <c r="X24" i="18"/>
  <c r="AJ8" i="18"/>
  <c r="M32" i="1"/>
  <c r="AB32" i="1" s="1"/>
  <c r="AA32" i="1" s="1"/>
  <c r="R40" i="18"/>
  <c r="L40" i="18"/>
  <c r="X16" i="18"/>
  <c r="L24" i="18"/>
  <c r="AJ24" i="18"/>
  <c r="X32" i="18"/>
  <c r="AJ40" i="18"/>
  <c r="R16" i="18"/>
  <c r="AD40" i="18"/>
  <c r="AD32" i="18"/>
  <c r="AD16" i="18"/>
  <c r="AB38" i="1"/>
  <c r="AA38" i="1" s="1"/>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M44" i="1"/>
  <c r="AB44" i="1" s="1"/>
  <c r="AA44" i="1" s="1"/>
  <c r="L18" i="18"/>
  <c r="AJ26" i="18"/>
  <c r="AD18" i="18"/>
  <c r="R34" i="18"/>
  <c r="L34" i="18"/>
  <c r="AJ42" i="18"/>
  <c r="R10" i="18"/>
  <c r="R42" i="18"/>
  <c r="X26" i="18"/>
  <c r="AJ18" i="18"/>
  <c r="N44"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7" i="1"/>
  <c r="AB27" i="1" s="1"/>
  <c r="J16" i="18"/>
  <c r="P32" i="18"/>
  <c r="V24" i="18"/>
  <c r="P24" i="18"/>
  <c r="V40" i="18"/>
  <c r="P16" i="18"/>
  <c r="P40" i="18"/>
  <c r="V32" i="18"/>
  <c r="AH16" i="18"/>
  <c r="AB16" i="18"/>
  <c r="V8" i="18"/>
  <c r="AH24" i="18"/>
  <c r="AH8" i="18"/>
  <c r="AH40" i="18"/>
  <c r="J8" i="18"/>
  <c r="AB32" i="18"/>
  <c r="AB8" i="18"/>
  <c r="J24" i="18"/>
  <c r="J32" i="18"/>
  <c r="P8" i="18"/>
  <c r="N27" i="1"/>
  <c r="Z42" i="18"/>
  <c r="T18" i="18"/>
  <c r="AF34" i="18"/>
  <c r="AF42" i="18"/>
  <c r="N42" i="18"/>
  <c r="Z18" i="18"/>
  <c r="AL10" i="18"/>
  <c r="AL26" i="18"/>
  <c r="AF26" i="18"/>
  <c r="Z10" i="18"/>
  <c r="N18" i="18"/>
  <c r="T26" i="18"/>
  <c r="AF10" i="18"/>
  <c r="T34" i="18"/>
  <c r="N26" i="18"/>
  <c r="AL18" i="18"/>
  <c r="N10" i="18"/>
  <c r="AF18" i="18"/>
  <c r="Z26" i="18"/>
  <c r="AL34" i="18"/>
  <c r="M50" i="1"/>
  <c r="Z34" i="18"/>
  <c r="T10" i="18"/>
  <c r="N50"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56" i="1"/>
  <c r="P12" i="18"/>
  <c r="AH20" i="18"/>
  <c r="P44" i="18"/>
  <c r="AB12" i="18"/>
  <c r="P20" i="18"/>
  <c r="J36" i="18"/>
  <c r="P36" i="18"/>
  <c r="AB44" i="18"/>
  <c r="V44" i="18"/>
  <c r="J28" i="18"/>
  <c r="AH36" i="18"/>
  <c r="V12" i="18"/>
  <c r="V28" i="18"/>
  <c r="AH44" i="18"/>
  <c r="AB20" i="18"/>
  <c r="AB36" i="18"/>
  <c r="AH28" i="18"/>
  <c r="V36" i="18"/>
  <c r="V20" i="18"/>
  <c r="M56" i="1"/>
  <c r="AB56" i="1" s="1"/>
  <c r="AA56"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H23" i="19" l="1"/>
  <c r="AB53" i="19"/>
  <c r="V23" i="19"/>
  <c r="P53" i="19"/>
  <c r="J33" i="19"/>
  <c r="AH53" i="19"/>
  <c r="AB43" i="19"/>
  <c r="P13" i="19"/>
  <c r="J13" i="19"/>
  <c r="AH13" i="19"/>
  <c r="AC44" i="1"/>
  <c r="J23" i="19"/>
  <c r="V33" i="19"/>
  <c r="J53" i="19"/>
  <c r="V43" i="19"/>
  <c r="V53" i="19"/>
  <c r="P23" i="19"/>
  <c r="AB33" i="19"/>
  <c r="AH43" i="19"/>
  <c r="AH33" i="19"/>
  <c r="AB13" i="19"/>
  <c r="V13" i="19"/>
  <c r="P43" i="19"/>
  <c r="J43" i="19"/>
  <c r="P33" i="19"/>
  <c r="AB23" i="19"/>
  <c r="J32" i="19"/>
  <c r="AB32" i="19"/>
  <c r="AB42" i="19"/>
  <c r="P12" i="19"/>
  <c r="P42" i="19"/>
  <c r="AB52" i="19"/>
  <c r="P52" i="19"/>
  <c r="AC38" i="1"/>
  <c r="V42" i="19"/>
  <c r="J22" i="19"/>
  <c r="V12" i="19"/>
  <c r="AH22" i="19"/>
  <c r="V22" i="19"/>
  <c r="V52" i="19"/>
  <c r="J52" i="19"/>
  <c r="AB22" i="19"/>
  <c r="AH12" i="19"/>
  <c r="AH52" i="19"/>
  <c r="J42" i="19"/>
  <c r="J12" i="19"/>
  <c r="AH42" i="19"/>
  <c r="P22" i="19"/>
  <c r="V32" i="19"/>
  <c r="AB12" i="19"/>
  <c r="AH32" i="19"/>
  <c r="P32" i="19"/>
  <c r="AB17" i="1"/>
  <c r="AA17" i="1" s="1"/>
  <c r="AC17" i="1" s="1"/>
  <c r="AA16" i="1"/>
  <c r="V7" i="19" s="1"/>
  <c r="P41" i="19"/>
  <c r="J40" i="19"/>
  <c r="J50" i="19"/>
  <c r="J10" i="19"/>
  <c r="V40" i="19"/>
  <c r="V30" i="19"/>
  <c r="AB40" i="19"/>
  <c r="AB20" i="19"/>
  <c r="AB30" i="19"/>
  <c r="AH20" i="19"/>
  <c r="P30" i="19"/>
  <c r="AH50" i="19"/>
  <c r="J30" i="19"/>
  <c r="V50" i="19"/>
  <c r="AC32" i="1"/>
  <c r="V20" i="19"/>
  <c r="P50" i="19"/>
  <c r="V10" i="19"/>
  <c r="AH10" i="19"/>
  <c r="AB10" i="19"/>
  <c r="P20" i="19"/>
  <c r="AB50" i="19"/>
  <c r="P40" i="19"/>
  <c r="P10" i="19"/>
  <c r="AH30" i="19"/>
  <c r="J20" i="19"/>
  <c r="AH40" i="19"/>
  <c r="AA27" i="1"/>
  <c r="V39" i="19" s="1"/>
  <c r="AA22" i="1"/>
  <c r="P38" i="19" s="1"/>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56" i="1"/>
  <c r="AB25" i="19"/>
  <c r="AH35" i="19"/>
  <c r="P55" i="19"/>
  <c r="J45" i="19"/>
  <c r="P25" i="19"/>
  <c r="P35" i="19"/>
  <c r="V55" i="19"/>
  <c r="AB18" i="1" l="1"/>
  <c r="AA18" i="1" s="1"/>
  <c r="AC18" i="1" s="1"/>
  <c r="AH17" i="19"/>
  <c r="AH47" i="19"/>
  <c r="V37" i="19"/>
  <c r="P37" i="19"/>
  <c r="AB37" i="19"/>
  <c r="J47" i="19"/>
  <c r="J17" i="19"/>
  <c r="J27" i="19"/>
  <c r="AB47" i="19"/>
  <c r="J7" i="19"/>
  <c r="P47" i="19"/>
  <c r="AB7" i="19"/>
  <c r="J37" i="19"/>
  <c r="AH37" i="19"/>
  <c r="AH7" i="19"/>
  <c r="P27" i="19"/>
  <c r="AH27" i="19"/>
  <c r="AB27" i="19"/>
  <c r="P17" i="19"/>
  <c r="V27" i="19"/>
  <c r="V17" i="19"/>
  <c r="AB17" i="19"/>
  <c r="V47" i="19"/>
  <c r="P7" i="19"/>
  <c r="AC16" i="1"/>
  <c r="AD17" i="19"/>
  <c r="AJ47" i="19"/>
  <c r="L37" i="19"/>
  <c r="L47" i="19"/>
  <c r="R17" i="19"/>
  <c r="R37" i="19"/>
  <c r="AJ17" i="19"/>
  <c r="AD7" i="19"/>
  <c r="X7" i="19"/>
  <c r="X37" i="19"/>
  <c r="X47" i="19"/>
  <c r="AD47" i="19"/>
  <c r="L7" i="19"/>
  <c r="R47" i="19"/>
  <c r="AJ27" i="19"/>
  <c r="L17" i="19"/>
  <c r="AD37" i="19"/>
  <c r="AD27" i="19"/>
  <c r="R27" i="19"/>
  <c r="L27" i="19"/>
  <c r="AJ7" i="19"/>
  <c r="X27" i="19"/>
  <c r="X17" i="19"/>
  <c r="AJ37" i="19"/>
  <c r="R7" i="19"/>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AB28" i="1"/>
  <c r="P49" i="19"/>
  <c r="V49" i="19"/>
  <c r="J9" i="19"/>
  <c r="AB19" i="19"/>
  <c r="AC27" i="1"/>
  <c r="V9" i="19"/>
  <c r="J49" i="19"/>
  <c r="AH29" i="19"/>
  <c r="J39" i="19"/>
  <c r="AB29" i="19"/>
  <c r="AB28" i="19"/>
  <c r="AH18" i="19"/>
  <c r="AH8" i="19"/>
  <c r="V8" i="19"/>
  <c r="J18" i="19"/>
  <c r="AB38" i="19"/>
  <c r="V48" i="19"/>
  <c r="AB18" i="19"/>
  <c r="V38" i="19"/>
  <c r="AB8" i="19"/>
  <c r="AH38" i="19"/>
  <c r="P28" i="19"/>
  <c r="J48" i="19"/>
  <c r="AC22" i="1"/>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A28" i="1" l="1"/>
  <c r="AB29" i="1"/>
  <c r="AA29" i="1" s="1"/>
  <c r="AC51" i="19"/>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C28" i="1"/>
  <c r="AJ9" i="19"/>
  <c r="X39" i="19"/>
  <c r="AD39" i="19"/>
  <c r="AD9" i="19"/>
  <c r="R29" i="19"/>
  <c r="AJ49" i="19"/>
  <c r="L19" i="19"/>
  <c r="AD29" i="19"/>
  <c r="L49" i="19"/>
  <c r="L29" i="19"/>
  <c r="AJ29" i="19"/>
  <c r="L39" i="19"/>
  <c r="AD19" i="19"/>
  <c r="X19" i="19"/>
  <c r="R19" i="19"/>
  <c r="R49" i="19"/>
  <c r="X29" i="19"/>
  <c r="R9" i="19"/>
  <c r="R39" i="19"/>
  <c r="AJ39" i="19"/>
  <c r="AK19" i="19" l="1"/>
  <c r="M39" i="19"/>
  <c r="AE9" i="19"/>
  <c r="Y9" i="19"/>
  <c r="AK9" i="19"/>
  <c r="AE19" i="19"/>
  <c r="M29" i="19"/>
  <c r="Y19" i="19"/>
  <c r="AE49" i="19"/>
  <c r="S29" i="19"/>
  <c r="S49" i="19"/>
  <c r="Y39" i="19"/>
  <c r="S9" i="19"/>
  <c r="Y49" i="19"/>
  <c r="AE39" i="19"/>
  <c r="AK49" i="19"/>
  <c r="AE29" i="19"/>
  <c r="AK29" i="19"/>
  <c r="AK39" i="19"/>
  <c r="AC29" i="1"/>
  <c r="S39" i="19"/>
  <c r="S19" i="19"/>
  <c r="M9" i="19"/>
  <c r="M49" i="19"/>
  <c r="M19" i="19"/>
  <c r="Y29" i="19"/>
</calcChain>
</file>

<file path=xl/sharedStrings.xml><?xml version="1.0" encoding="utf-8"?>
<sst xmlns="http://schemas.openxmlformats.org/spreadsheetml/2006/main" count="494" uniqueCount="273">
  <si>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</si>
  <si>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</si>
  <si>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</si>
  <si>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</si>
  <si>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</si>
  <si>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</si>
  <si>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</si>
  <si>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</si>
  <si>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</si>
  <si>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</si>
  <si>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</si>
  <si>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</si>
  <si>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</si>
  <si>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</si>
  <si>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</si>
  <si>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</si>
  <si>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</si>
  <si>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</si>
  <si>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</si>
  <si>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</si>
  <si>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</si>
  <si>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</si>
  <si>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</si>
  <si>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</si>
  <si>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</si>
  <si>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</si>
  <si>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</si>
  <si>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</si>
  <si>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</si>
  <si>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</si>
  <si>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</si>
  <si>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</si>
  <si>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</si>
  <si>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</si>
  <si>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</si>
  <si>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</si>
  <si>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</si>
  <si>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</si>
  <si>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</si>
  <si>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</si>
  <si>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</si>
  <si>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</si>
  <si>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</si>
  <si>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</si>
  <si>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</si>
  <si>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</si>
  <si>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</si>
  <si>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</si>
  <si>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</si>
  <si>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</si>
  <si>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</si>
  <si>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</si>
  <si>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</si>
  <si>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</si>
  <si>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</si>
  <si>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</si>
  <si>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</si>
  <si>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</si>
  <si>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</si>
  <si>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</si>
  <si>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</si>
  <si>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</si>
  <si>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</si>
  <si>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</si>
  <si>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</si>
  <si>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</si>
  <si>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</si>
  <si>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</si>
  <si>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</si>
  <si>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</si>
  <si>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</si>
  <si>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</si>
  <si>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</si>
  <si>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</si>
  <si>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</si>
  <si>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</si>
  <si>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</si>
  <si>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</si>
  <si>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</si>
  <si>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</si>
  <si>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</si>
  <si>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</si>
  <si>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</si>
  <si>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</si>
  <si>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</si>
  <si>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</si>
  <si>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</si>
  <si>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</si>
  <si>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</si>
  <si>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</si>
  <si>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</si>
  <si>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</si>
  <si>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</si>
  <si>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</si>
  <si>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</si>
  <si>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</si>
  <si>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</si>
  <si>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</si>
  <si>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</si>
  <si>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</si>
  <si>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</si>
  <si>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</si>
  <si>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</si>
  <si>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</si>
  <si>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</si>
  <si>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</si>
  <si>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</si>
  <si>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</si>
  <si>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</si>
  <si>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</si>
  <si>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</si>
  <si>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</si>
  <si>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</si>
  <si>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</si>
  <si>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</si>
  <si>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</si>
  <si>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</si>
  <si>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</si>
  <si>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</si>
  <si>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</si>
  <si>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</si>
  <si>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</si>
  <si>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</si>
  <si>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</si>
  <si>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</si>
  <si>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</si>
  <si>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</si>
  <si>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</si>
  <si>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</si>
  <si>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</si>
  <si>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</si>
  <si>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</si>
  <si>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</si>
  <si>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</si>
  <si>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</si>
  <si>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</si>
  <si>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</si>
  <si>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</si>
  <si>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</si>
  <si>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</si>
  <si>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</si>
  <si>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</si>
  <si>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</si>
  <si>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</si>
  <si>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</si>
  <si>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</si>
  <si>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</si>
  <si>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</si>
  <si>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</si>
  <si>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</si>
  <si>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</si>
  <si>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</si>
  <si>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</si>
  <si>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</si>
  <si>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</si>
  <si>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</si>
  <si>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</si>
  <si>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</si>
  <si>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</si>
  <si>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</si>
  <si>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</si>
  <si>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</si>
  <si>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</si>
  <si>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</si>
  <si>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</si>
  <si>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</si>
  <si>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</si>
  <si>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</si>
  <si>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</si>
  <si>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</si>
  <si>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</si>
  <si>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</si>
  <si>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</si>
  <si>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</si>
  <si>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</si>
  <si>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</si>
  <si>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</si>
  <si>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</si>
  <si>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</si>
  <si>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</si>
  <si>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</si>
  <si>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</si>
  <si>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</si>
  <si>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</si>
  <si>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</si>
  <si>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</si>
  <si>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</si>
  <si>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</si>
  <si>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</si>
  <si>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</si>
  <si>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</si>
  <si>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</si>
  <si>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</si>
  <si>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</si>
  <si>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</si>
  <si>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</si>
  <si>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</si>
  <si>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</si>
  <si>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</si>
  <si>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</si>
  <si>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</si>
  <si>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</si>
  <si>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</si>
  <si>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</si>
  <si>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</si>
  <si>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</si>
  <si>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</si>
  <si>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</si>
  <si>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</si>
  <si>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</si>
  <si>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</si>
  <si>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</si>
  <si>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</si>
  <si>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</si>
  <si>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</si>
  <si>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</si>
  <si>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</si>
  <si>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 xml:space="preserve">Multa o sancion del ente regulador </t>
  </si>
  <si>
    <t>Multa o sancion del ente regulador</t>
  </si>
  <si>
    <t>Trimestral</t>
  </si>
  <si>
    <t>Informar oportunamente, a través de campañas de comunicaciones, los roles y responsabilidades en el proceso de evaluación del desempeño
Gestionar y participar en jornadas de capacitación sobre el aplicativo de EDL y sus sustento normativo</t>
  </si>
  <si>
    <t>Semestral</t>
  </si>
  <si>
    <t>Evidencia Control</t>
  </si>
  <si>
    <t>Incumplimiento de los contratistas o proveedores en el plazo de ejecución de los contratos por inadecuada supervisión de los contratos</t>
  </si>
  <si>
    <t xml:space="preserve">Semestral
</t>
  </si>
  <si>
    <t>Orientar estratégicamente a la Unidad del SPE para estructurar la planeación, la ejecución, el seguimiento y la evaluación de los resultados, con miras al cumplimiento de su misión, visión y objetivos institucionales; así como para la gestión del conocimiento y la innovación institucional y la mejora de la relación con sus grupos de valor.</t>
  </si>
  <si>
    <t>El proceso inicia con la identificación necesidades de direccionamiento estratégico y finaliza con la elaboración de planes de mejoramiento, acciones correctivas y preventivas. El proceso aplica para todos los procesos de la Unidad del SPE.</t>
  </si>
  <si>
    <t>Incumplimiento metas institucionales</t>
  </si>
  <si>
    <t>Posibilidad de afectación económica y reputacional por Inexactitud en la formulación de planes, programas y/o  proyectos asociados a la planeación estratégica de la entidad</t>
  </si>
  <si>
    <t xml:space="preserve">No dar respuesta a los lineamientos normativos en materia de planeación. </t>
  </si>
  <si>
    <t xml:space="preserve">Posibilidad de afectación económica y reputacional por expedición de actos administrativos que generen daños antijurídicos al interior de la Unidad
</t>
  </si>
  <si>
    <t>Posibilidad de afectación económica por multa o sanción del ente regulador debido a no entregar o entregar Información erronea a las solicitudes interpuestas por los ciudadanos..</t>
  </si>
  <si>
    <t>Atender de manera extemporánea las  PQRSD interpuestas a la entidad, error en la asignaciónd e oficios o falta de probidad de servidores públicos en el marco de la generación de respuestas</t>
  </si>
  <si>
    <t xml:space="preserve">Posibilidad de afectación económica y reputacional por comunicar inoportunamente la gestión de la Unidad del SPE por aspectos internos o externos, tales como entregas extemporáneas o incompletas, por parte de los responsables, de la información o de los insumos requeridos para comunicar a las partes interesadas
</t>
  </si>
  <si>
    <t xml:space="preserve">Entregas extemporáneas, por parte de los responsables, de la información o de los insumos requeridos para comunicar a las partes interesadas  </t>
  </si>
  <si>
    <t>Posibilidad de afectación reputacional por implementación inadeacuada del Modelo Integrado de Planeación y Gestión -MIPG-</t>
  </si>
  <si>
    <t>Baja calificación en el Indice de Gestión y Desempeño Institución capturado por Función Pública a través de FURAG</t>
  </si>
  <si>
    <t>Análisis de resultados FURAG de cara a proponer acciones de mejoramiento para optimizar el grado de articulación de las políticas de MIPG al interior de la entidad.</t>
  </si>
  <si>
    <t>Plan de mejoramiento IDI FURAG</t>
  </si>
  <si>
    <t>Asesor de Planeación</t>
  </si>
  <si>
    <t>Anual</t>
  </si>
  <si>
    <t xml:space="preserve">Establecer  los lineamientos para la formulación del plan de acción de la siguiente vigencia teniendo en cuenta el referente estratégico de la entidad, los compromisos del Ministerio definidos en el plan estratégico sectorial, plan estratégico institucional, proyectos de inversión, modelo integrado de planeación y gestión
</t>
  </si>
  <si>
    <t>Realizar seguimiento trimestral a los reportes de avance del Plan de Acción Institucional por medio del aplicativo interno SEPIA.</t>
  </si>
  <si>
    <t>Plan Estratégico Institucional</t>
  </si>
  <si>
    <t>Reportes Plan de Acción - Aplicativo SEPIA</t>
  </si>
  <si>
    <t>Plan de Acción Institucional</t>
  </si>
  <si>
    <t>Asesor Planeación</t>
  </si>
  <si>
    <t>Seguimiento a la formulación del Plan de Acción Institucional.</t>
  </si>
  <si>
    <t>Control de los actos administrativos entre el área técnica y la Dirección General en la expedición de los mismos</t>
  </si>
  <si>
    <t>Socialización de informes en el marco del Comité Institucional de Gestión y Desempeño</t>
  </si>
  <si>
    <t>Seguimiento Trimestral presentado en el comité y publicado en la webPQRS  entre dependencias</t>
  </si>
  <si>
    <t xml:space="preserve">Implementación y socialización del protocolo de atención al ciudadano </t>
  </si>
  <si>
    <t>Repositorio de Documentos - Actos Admnistrativos</t>
  </si>
  <si>
    <t xml:space="preserve">Secretario General
</t>
  </si>
  <si>
    <t xml:space="preserve">Cuando sea requerido por comité
</t>
  </si>
  <si>
    <t>Elaboración de cronogramas de eventos, incluyendo tareas y responsables puntuales de estos</t>
  </si>
  <si>
    <t xml:space="preserve">Control y Seguimiento de los eventos realizados para divulgación de información de la Unidad, y a las publicaciones y campañas informativas internas relacionadas con la gestión de la Entidad
</t>
  </si>
  <si>
    <t>Posibilidad de afectación económica y reputacional por la presentación de demandas por las causas que tienen Política de Prevención del Daño Antijurídico (Configuración del contrato realidad, incumplimiento del deber de liquidar el contrato, incumplimiento de norma jurídica)</t>
  </si>
  <si>
    <t>Falta de seguimiento y evaluación a la Política de Prevención del Daño Antijurídico</t>
  </si>
  <si>
    <t>Acta de reunión, Resolución y comunicaciones de difusión</t>
  </si>
  <si>
    <t>Realizar seguimiento al aumento o disminución porcentual de demandas entre dos años</t>
  </si>
  <si>
    <t>Monitorear el aumento en la cantidad de acciones de tutela contra la entidad que invoquen el derecho de petición</t>
  </si>
  <si>
    <t>Secretaría General</t>
  </si>
  <si>
    <r>
      <t>Código:</t>
    </r>
    <r>
      <rPr>
        <sz val="8"/>
        <color rgb="FF000000"/>
        <rFont val="Arial Narrow"/>
        <family val="2"/>
      </rPr>
      <t xml:space="preserve"> </t>
    </r>
  </si>
  <si>
    <t>DE-Ft-05</t>
  </si>
  <si>
    <r>
      <t>Versión:</t>
    </r>
    <r>
      <rPr>
        <sz val="8"/>
        <color rgb="FF000000"/>
        <rFont val="Arial Narrow"/>
        <family val="2"/>
      </rPr>
      <t xml:space="preserve"> </t>
    </r>
  </si>
  <si>
    <r>
      <t>Vigente desde:</t>
    </r>
    <r>
      <rPr>
        <sz val="8"/>
        <color rgb="FF000000"/>
        <rFont val="Arial Narrow"/>
        <family val="2"/>
      </rPr>
      <t xml:space="preserve"> </t>
    </r>
  </si>
  <si>
    <t xml:space="preserve"> Direccionamiento Estratégico</t>
  </si>
  <si>
    <t>Seguimiento Cualitativo de los Controles Propuestos</t>
  </si>
  <si>
    <t>Evidencias Relacionadas</t>
  </si>
  <si>
    <t>Seguimiento Primer Semestre</t>
  </si>
  <si>
    <t xml:space="preserve">Secretario General/ Relacionamiento con el Ciudadano </t>
  </si>
  <si>
    <t>25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</si>
</sst>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b/>
      <sz val="8"/>
      <color rgb="FF000000"/>
      <name val="Arial Narrow"/>
      <family val="2"/>
    </font>
    <font>
      <sz val="8"/>
      <color rgb="FF000000"/>
      <name val="Arial Narrow"/>
      <family val="2"/>
    </font>
    <font>
      <b/>
      <sz val="8"/>
      <color theme="1"/>
      <name val="Arial Narrow"/>
      <family val="2"/>
    </font>
    <font>
      <sz val="11"/>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dashed">
        <color theme="9" tint="-0.24994659260841701"/>
      </left>
      <right/>
      <top style="dashed">
        <color theme="9" tint="-0.24994659260841701"/>
      </top>
      <bottom/>
      <diagonal/>
    </border>
    <border>
      <left style="dashed">
        <color theme="9" tint="-0.24994659260841701"/>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8" fillId="0" borderId="2" xfId="0" applyFont="1" applyBorder="1" applyAlignment="1" applyProtection="1">
      <alignment horizontal="center" vertical="top" textRotation="90"/>
      <protection locked="0"/>
    </xf>
    <xf numFmtId="164" fontId="8" fillId="0" borderId="2" xfId="1" applyNumberFormat="1" applyFont="1" applyBorder="1" applyAlignment="1">
      <alignment horizontal="center" vertical="top"/>
    </xf>
    <xf numFmtId="0" fontId="27" fillId="0" borderId="2" xfId="0" applyFont="1" applyBorder="1" applyAlignment="1" applyProtection="1">
      <alignment horizontal="center" vertical="top" textRotation="90" wrapText="1"/>
      <protection hidden="1"/>
    </xf>
    <xf numFmtId="9" fontId="8" fillId="0" borderId="4" xfId="0" applyNumberFormat="1" applyFont="1" applyBorder="1" applyAlignment="1" applyProtection="1">
      <alignment horizontal="center" vertical="top"/>
      <protection hidden="1"/>
    </xf>
    <xf numFmtId="0" fontId="27" fillId="0" borderId="2" xfId="0" applyFont="1" applyBorder="1" applyAlignment="1" applyProtection="1">
      <alignment horizontal="center" vertical="top" textRotation="90"/>
      <protection hidden="1"/>
    </xf>
    <xf numFmtId="0" fontId="8" fillId="0" borderId="4" xfId="0" applyFont="1" applyBorder="1" applyAlignment="1" applyProtection="1">
      <alignment horizontal="center" vertical="top" textRotation="90"/>
      <protection locked="0"/>
    </xf>
    <xf numFmtId="0" fontId="67" fillId="0" borderId="71" xfId="0" applyFont="1" applyBorder="1" applyAlignment="1">
      <alignment horizontal="right" vertical="center" wrapText="1"/>
    </xf>
    <xf numFmtId="0" fontId="69" fillId="0" borderId="72" xfId="0" applyFont="1" applyBorder="1" applyAlignment="1">
      <alignment vertical="center" wrapText="1"/>
    </xf>
    <xf numFmtId="0" fontId="67" fillId="0" borderId="73" xfId="0" applyFont="1" applyBorder="1" applyAlignment="1">
      <alignment horizontal="right" vertical="center" wrapText="1"/>
    </xf>
    <xf numFmtId="0" fontId="69" fillId="0" borderId="74" xfId="0" applyFont="1" applyBorder="1" applyAlignment="1">
      <alignment vertical="center" wrapText="1"/>
    </xf>
    <xf numFmtId="0" fontId="69" fillId="0" borderId="74" xfId="0" applyFont="1" applyBorder="1" applyAlignment="1">
      <alignment horizontal="left" vertical="center" wrapText="1"/>
    </xf>
    <xf numFmtId="0" fontId="29" fillId="0" borderId="2" xfId="0" applyFont="1" applyBorder="1" applyAlignment="1" applyProtection="1">
      <alignment horizontal="justify" vertical="top" wrapText="1"/>
      <protection locked="0"/>
    </xf>
    <xf numFmtId="0" fontId="70" fillId="0" borderId="0" xfId="0" applyFont="1"/>
    <xf numFmtId="0" fontId="50" fillId="0" borderId="4" xfId="0" applyFont="1" applyBorder="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0" xfId="0" applyFont="1" applyFill="1" applyAlignment="1">
      <alignment horizontal="center" vertical="center"/>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7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65" xfId="0" applyFont="1" applyFill="1" applyBorder="1" applyAlignment="1">
      <alignment horizontal="center" vertical="center"/>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0" fontId="4" fillId="2" borderId="5" xfId="0" applyFont="1" applyFill="1" applyBorder="1" applyAlignment="1">
      <alignment horizontal="center" vertical="center"/>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1">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0" dataDxfId="99">
  <autoFilter ref="B209:C219" xr:uid="{00000000-0009-0000-0100-000001000000}"/>
  <tableColumns count="2">
    <tableColumn id="1" xr3:uid="{00000000-0010-0000-0000-000001000000}" name="Criterios" dataDxfId="98"/>
    <tableColumn id="2" xr3:uid="{00000000-0010-0000-0000-000002000000}" name="Subcriterios" dataDxfId="9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74" t="s">
        <v>166</v>
      </c>
      <c r="C2" s="175"/>
      <c r="D2" s="175"/>
      <c r="E2" s="175"/>
      <c r="F2" s="175"/>
      <c r="G2" s="175"/>
      <c r="H2" s="176"/>
    </row>
    <row r="3" spans="2:8" x14ac:dyDescent="0.25">
      <c r="B3" s="81"/>
      <c r="C3" s="82"/>
      <c r="D3" s="82"/>
      <c r="E3" s="82"/>
      <c r="F3" s="82"/>
      <c r="G3" s="82"/>
      <c r="H3" s="83"/>
    </row>
    <row r="4" spans="2:8" ht="63" customHeight="1" x14ac:dyDescent="0.25">
      <c r="B4" s="177" t="s">
        <v>209</v>
      </c>
      <c r="C4" s="178"/>
      <c r="D4" s="178"/>
      <c r="E4" s="178"/>
      <c r="F4" s="178"/>
      <c r="G4" s="178"/>
      <c r="H4" s="179"/>
    </row>
    <row r="5" spans="2:8" ht="63" customHeight="1" x14ac:dyDescent="0.25">
      <c r="B5" s="180"/>
      <c r="C5" s="181"/>
      <c r="D5" s="181"/>
      <c r="E5" s="181"/>
      <c r="F5" s="181"/>
      <c r="G5" s="181"/>
      <c r="H5" s="182"/>
    </row>
    <row r="6" spans="2:8" ht="16.5" x14ac:dyDescent="0.25">
      <c r="B6" s="183" t="s">
        <v>164</v>
      </c>
      <c r="C6" s="184"/>
      <c r="D6" s="184"/>
      <c r="E6" s="184"/>
      <c r="F6" s="184"/>
      <c r="G6" s="184"/>
      <c r="H6" s="185"/>
    </row>
    <row r="7" spans="2:8" ht="95.25" customHeight="1" x14ac:dyDescent="0.25">
      <c r="B7" s="193" t="s">
        <v>169</v>
      </c>
      <c r="C7" s="194"/>
      <c r="D7" s="194"/>
      <c r="E7" s="194"/>
      <c r="F7" s="194"/>
      <c r="G7" s="194"/>
      <c r="H7" s="195"/>
    </row>
    <row r="8" spans="2:8" ht="16.5" x14ac:dyDescent="0.25">
      <c r="B8" s="117"/>
      <c r="C8" s="118"/>
      <c r="D8" s="118"/>
      <c r="E8" s="118"/>
      <c r="F8" s="118"/>
      <c r="G8" s="118"/>
      <c r="H8" s="119"/>
    </row>
    <row r="9" spans="2:8" ht="16.5" customHeight="1" x14ac:dyDescent="0.25">
      <c r="B9" s="186" t="s">
        <v>202</v>
      </c>
      <c r="C9" s="187"/>
      <c r="D9" s="187"/>
      <c r="E9" s="187"/>
      <c r="F9" s="187"/>
      <c r="G9" s="187"/>
      <c r="H9" s="188"/>
    </row>
    <row r="10" spans="2:8" ht="44.25" customHeight="1" x14ac:dyDescent="0.25">
      <c r="B10" s="186"/>
      <c r="C10" s="187"/>
      <c r="D10" s="187"/>
      <c r="E10" s="187"/>
      <c r="F10" s="187"/>
      <c r="G10" s="187"/>
      <c r="H10" s="188"/>
    </row>
    <row r="11" spans="2:8" ht="15.75" thickBot="1" x14ac:dyDescent="0.3">
      <c r="B11" s="106"/>
      <c r="C11" s="109"/>
      <c r="D11" s="114"/>
      <c r="E11" s="115"/>
      <c r="F11" s="115"/>
      <c r="G11" s="116"/>
      <c r="H11" s="110"/>
    </row>
    <row r="12" spans="2:8" ht="15.75" thickTop="1" x14ac:dyDescent="0.25">
      <c r="B12" s="106"/>
      <c r="C12" s="189" t="s">
        <v>165</v>
      </c>
      <c r="D12" s="190"/>
      <c r="E12" s="191" t="s">
        <v>203</v>
      </c>
      <c r="F12" s="192"/>
      <c r="G12" s="109"/>
      <c r="H12" s="110"/>
    </row>
    <row r="13" spans="2:8" ht="35.25" customHeight="1" x14ac:dyDescent="0.25">
      <c r="B13" s="106"/>
      <c r="C13" s="161" t="s">
        <v>196</v>
      </c>
      <c r="D13" s="162"/>
      <c r="E13" s="163" t="s">
        <v>201</v>
      </c>
      <c r="F13" s="164"/>
      <c r="G13" s="109"/>
      <c r="H13" s="110"/>
    </row>
    <row r="14" spans="2:8" ht="17.25" customHeight="1" x14ac:dyDescent="0.25">
      <c r="B14" s="106"/>
      <c r="C14" s="161" t="s">
        <v>197</v>
      </c>
      <c r="D14" s="162"/>
      <c r="E14" s="163" t="s">
        <v>199</v>
      </c>
      <c r="F14" s="164"/>
      <c r="G14" s="109"/>
      <c r="H14" s="110"/>
    </row>
    <row r="15" spans="2:8" ht="19.5" customHeight="1" x14ac:dyDescent="0.25">
      <c r="B15" s="106"/>
      <c r="C15" s="161" t="s">
        <v>198</v>
      </c>
      <c r="D15" s="162"/>
      <c r="E15" s="163" t="s">
        <v>200</v>
      </c>
      <c r="F15" s="164"/>
      <c r="G15" s="109"/>
      <c r="H15" s="110"/>
    </row>
    <row r="16" spans="2:8" ht="69.75" customHeight="1" x14ac:dyDescent="0.25">
      <c r="B16" s="106"/>
      <c r="C16" s="161" t="s">
        <v>167</v>
      </c>
      <c r="D16" s="162"/>
      <c r="E16" s="163" t="s">
        <v>168</v>
      </c>
      <c r="F16" s="164"/>
      <c r="G16" s="109"/>
      <c r="H16" s="110"/>
    </row>
    <row r="17" spans="2:8" ht="34.5" customHeight="1" x14ac:dyDescent="0.25">
      <c r="B17" s="106"/>
      <c r="C17" s="165" t="s">
        <v>2</v>
      </c>
      <c r="D17" s="166"/>
      <c r="E17" s="157" t="s">
        <v>210</v>
      </c>
      <c r="F17" s="158"/>
      <c r="G17" s="109"/>
      <c r="H17" s="110"/>
    </row>
    <row r="18" spans="2:8" ht="27.75" customHeight="1" x14ac:dyDescent="0.25">
      <c r="B18" s="106"/>
      <c r="C18" s="165" t="s">
        <v>3</v>
      </c>
      <c r="D18" s="166"/>
      <c r="E18" s="157" t="s">
        <v>211</v>
      </c>
      <c r="F18" s="158"/>
      <c r="G18" s="109"/>
      <c r="H18" s="110"/>
    </row>
    <row r="19" spans="2:8" ht="28.5" customHeight="1" x14ac:dyDescent="0.25">
      <c r="B19" s="106"/>
      <c r="C19" s="165" t="s">
        <v>42</v>
      </c>
      <c r="D19" s="166"/>
      <c r="E19" s="157" t="s">
        <v>212</v>
      </c>
      <c r="F19" s="158"/>
      <c r="G19" s="109"/>
      <c r="H19" s="110"/>
    </row>
    <row r="20" spans="2:8" ht="72.75" customHeight="1" x14ac:dyDescent="0.25">
      <c r="B20" s="106"/>
      <c r="C20" s="165" t="s">
        <v>1</v>
      </c>
      <c r="D20" s="166"/>
      <c r="E20" s="157" t="s">
        <v>213</v>
      </c>
      <c r="F20" s="158"/>
      <c r="G20" s="109"/>
      <c r="H20" s="110"/>
    </row>
    <row r="21" spans="2:8" ht="64.5" customHeight="1" x14ac:dyDescent="0.25">
      <c r="B21" s="106"/>
      <c r="C21" s="165" t="s">
        <v>50</v>
      </c>
      <c r="D21" s="166"/>
      <c r="E21" s="157" t="s">
        <v>171</v>
      </c>
      <c r="F21" s="158"/>
      <c r="G21" s="109"/>
      <c r="H21" s="110"/>
    </row>
    <row r="22" spans="2:8" ht="71.25" customHeight="1" x14ac:dyDescent="0.25">
      <c r="B22" s="106"/>
      <c r="C22" s="165" t="s">
        <v>170</v>
      </c>
      <c r="D22" s="166"/>
      <c r="E22" s="157" t="s">
        <v>172</v>
      </c>
      <c r="F22" s="158"/>
      <c r="G22" s="109"/>
      <c r="H22" s="110"/>
    </row>
    <row r="23" spans="2:8" ht="55.5" customHeight="1" x14ac:dyDescent="0.25">
      <c r="B23" s="106"/>
      <c r="C23" s="159" t="s">
        <v>173</v>
      </c>
      <c r="D23" s="160"/>
      <c r="E23" s="157" t="s">
        <v>174</v>
      </c>
      <c r="F23" s="158"/>
      <c r="G23" s="109"/>
      <c r="H23" s="110"/>
    </row>
    <row r="24" spans="2:8" ht="42" customHeight="1" x14ac:dyDescent="0.25">
      <c r="B24" s="106"/>
      <c r="C24" s="159" t="s">
        <v>48</v>
      </c>
      <c r="D24" s="160"/>
      <c r="E24" s="157" t="s">
        <v>175</v>
      </c>
      <c r="F24" s="158"/>
      <c r="G24" s="109"/>
      <c r="H24" s="110"/>
    </row>
    <row r="25" spans="2:8" ht="59.25" customHeight="1" x14ac:dyDescent="0.25">
      <c r="B25" s="106"/>
      <c r="C25" s="159" t="s">
        <v>163</v>
      </c>
      <c r="D25" s="160"/>
      <c r="E25" s="157" t="s">
        <v>176</v>
      </c>
      <c r="F25" s="158"/>
      <c r="G25" s="109"/>
      <c r="H25" s="110"/>
    </row>
    <row r="26" spans="2:8" ht="23.25" customHeight="1" x14ac:dyDescent="0.25">
      <c r="B26" s="106"/>
      <c r="C26" s="159" t="s">
        <v>12</v>
      </c>
      <c r="D26" s="160"/>
      <c r="E26" s="157" t="s">
        <v>177</v>
      </c>
      <c r="F26" s="158"/>
      <c r="G26" s="109"/>
      <c r="H26" s="110"/>
    </row>
    <row r="27" spans="2:8" ht="30.75" customHeight="1" x14ac:dyDescent="0.25">
      <c r="B27" s="106"/>
      <c r="C27" s="159" t="s">
        <v>181</v>
      </c>
      <c r="D27" s="160"/>
      <c r="E27" s="157" t="s">
        <v>178</v>
      </c>
      <c r="F27" s="158"/>
      <c r="G27" s="109"/>
      <c r="H27" s="110"/>
    </row>
    <row r="28" spans="2:8" ht="35.25" customHeight="1" x14ac:dyDescent="0.25">
      <c r="B28" s="106"/>
      <c r="C28" s="159" t="s">
        <v>182</v>
      </c>
      <c r="D28" s="160"/>
      <c r="E28" s="157" t="s">
        <v>179</v>
      </c>
      <c r="F28" s="158"/>
      <c r="G28" s="109"/>
      <c r="H28" s="110"/>
    </row>
    <row r="29" spans="2:8" ht="33" customHeight="1" x14ac:dyDescent="0.25">
      <c r="B29" s="106"/>
      <c r="C29" s="159" t="s">
        <v>182</v>
      </c>
      <c r="D29" s="160"/>
      <c r="E29" s="157" t="s">
        <v>179</v>
      </c>
      <c r="F29" s="158"/>
      <c r="G29" s="109"/>
      <c r="H29" s="110"/>
    </row>
    <row r="30" spans="2:8" ht="30" customHeight="1" x14ac:dyDescent="0.25">
      <c r="B30" s="106"/>
      <c r="C30" s="159" t="s">
        <v>183</v>
      </c>
      <c r="D30" s="160"/>
      <c r="E30" s="157" t="s">
        <v>180</v>
      </c>
      <c r="F30" s="158"/>
      <c r="G30" s="109"/>
      <c r="H30" s="110"/>
    </row>
    <row r="31" spans="2:8" ht="35.25" customHeight="1" x14ac:dyDescent="0.25">
      <c r="B31" s="106"/>
      <c r="C31" s="159" t="s">
        <v>184</v>
      </c>
      <c r="D31" s="160"/>
      <c r="E31" s="157" t="s">
        <v>185</v>
      </c>
      <c r="F31" s="158"/>
      <c r="G31" s="109"/>
      <c r="H31" s="110"/>
    </row>
    <row r="32" spans="2:8" ht="31.5" customHeight="1" x14ac:dyDescent="0.25">
      <c r="B32" s="106"/>
      <c r="C32" s="159" t="s">
        <v>186</v>
      </c>
      <c r="D32" s="160"/>
      <c r="E32" s="157" t="s">
        <v>187</v>
      </c>
      <c r="F32" s="158"/>
      <c r="G32" s="109"/>
      <c r="H32" s="110"/>
    </row>
    <row r="33" spans="2:8" ht="35.25" customHeight="1" x14ac:dyDescent="0.25">
      <c r="B33" s="106"/>
      <c r="C33" s="159" t="s">
        <v>188</v>
      </c>
      <c r="D33" s="160"/>
      <c r="E33" s="157" t="s">
        <v>189</v>
      </c>
      <c r="F33" s="158"/>
      <c r="G33" s="109"/>
      <c r="H33" s="110"/>
    </row>
    <row r="34" spans="2:8" ht="59.25" customHeight="1" x14ac:dyDescent="0.25">
      <c r="B34" s="106"/>
      <c r="C34" s="159" t="s">
        <v>190</v>
      </c>
      <c r="D34" s="160"/>
      <c r="E34" s="157" t="s">
        <v>191</v>
      </c>
      <c r="F34" s="158"/>
      <c r="G34" s="109"/>
      <c r="H34" s="110"/>
    </row>
    <row r="35" spans="2:8" ht="29.25" customHeight="1" x14ac:dyDescent="0.25">
      <c r="B35" s="106"/>
      <c r="C35" s="159" t="s">
        <v>29</v>
      </c>
      <c r="D35" s="160"/>
      <c r="E35" s="157" t="s">
        <v>192</v>
      </c>
      <c r="F35" s="158"/>
      <c r="G35" s="109"/>
      <c r="H35" s="110"/>
    </row>
    <row r="36" spans="2:8" ht="82.5" customHeight="1" x14ac:dyDescent="0.25">
      <c r="B36" s="106"/>
      <c r="C36" s="159" t="s">
        <v>194</v>
      </c>
      <c r="D36" s="160"/>
      <c r="E36" s="157" t="s">
        <v>193</v>
      </c>
      <c r="F36" s="158"/>
      <c r="G36" s="109"/>
      <c r="H36" s="110"/>
    </row>
    <row r="37" spans="2:8" ht="46.5" customHeight="1" x14ac:dyDescent="0.25">
      <c r="B37" s="106"/>
      <c r="C37" s="159" t="s">
        <v>39</v>
      </c>
      <c r="D37" s="160"/>
      <c r="E37" s="157" t="s">
        <v>195</v>
      </c>
      <c r="F37" s="158"/>
      <c r="G37" s="109"/>
      <c r="H37" s="110"/>
    </row>
    <row r="38" spans="2:8" ht="6.75" customHeight="1" thickBot="1" x14ac:dyDescent="0.3">
      <c r="B38" s="106"/>
      <c r="C38" s="170"/>
      <c r="D38" s="171"/>
      <c r="E38" s="172"/>
      <c r="F38" s="173"/>
      <c r="G38" s="109"/>
      <c r="H38" s="110"/>
    </row>
    <row r="39" spans="2:8" ht="15.75" thickTop="1" x14ac:dyDescent="0.25">
      <c r="B39" s="106"/>
      <c r="C39" s="107"/>
      <c r="D39" s="107"/>
      <c r="E39" s="108"/>
      <c r="F39" s="108"/>
      <c r="G39" s="109"/>
      <c r="H39" s="110"/>
    </row>
    <row r="40" spans="2:8" ht="21" customHeight="1" x14ac:dyDescent="0.25">
      <c r="B40" s="167" t="s">
        <v>204</v>
      </c>
      <c r="C40" s="168"/>
      <c r="D40" s="168"/>
      <c r="E40" s="168"/>
      <c r="F40" s="168"/>
      <c r="G40" s="168"/>
      <c r="H40" s="169"/>
    </row>
    <row r="41" spans="2:8" ht="20.25" customHeight="1" x14ac:dyDescent="0.25">
      <c r="B41" s="167" t="s">
        <v>205</v>
      </c>
      <c r="C41" s="168"/>
      <c r="D41" s="168"/>
      <c r="E41" s="168"/>
      <c r="F41" s="168"/>
      <c r="G41" s="168"/>
      <c r="H41" s="169"/>
    </row>
    <row r="42" spans="2:8" ht="20.25" customHeight="1" x14ac:dyDescent="0.25">
      <c r="B42" s="167" t="s">
        <v>206</v>
      </c>
      <c r="C42" s="168"/>
      <c r="D42" s="168"/>
      <c r="E42" s="168"/>
      <c r="F42" s="168"/>
      <c r="G42" s="168"/>
      <c r="H42" s="169"/>
    </row>
    <row r="43" spans="2:8" ht="20.25" customHeight="1" x14ac:dyDescent="0.25">
      <c r="B43" s="167" t="s">
        <v>207</v>
      </c>
      <c r="C43" s="168"/>
      <c r="D43" s="168"/>
      <c r="E43" s="168"/>
      <c r="F43" s="168"/>
      <c r="G43" s="168"/>
      <c r="H43" s="169"/>
    </row>
    <row r="44" spans="2:8" x14ac:dyDescent="0.25">
      <c r="B44" s="167" t="s">
        <v>208</v>
      </c>
      <c r="C44" s="168"/>
      <c r="D44" s="168"/>
      <c r="E44" s="168"/>
      <c r="F44" s="168"/>
      <c r="G44" s="168"/>
      <c r="H44" s="169"/>
    </row>
    <row r="45" spans="2:8" ht="15.75" thickBot="1" x14ac:dyDescent="0.3">
      <c r="B45" s="111"/>
      <c r="C45" s="112"/>
      <c r="D45" s="112"/>
      <c r="E45" s="112"/>
      <c r="F45" s="112"/>
      <c r="G45" s="112"/>
      <c r="H45" s="113"/>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64"/>
  <sheetViews>
    <sheetView tabSelected="1" topLeftCell="AF1" zoomScale="85" zoomScaleNormal="85" workbookViewId="0">
      <selection activeCell="AJ5" sqref="AJ5"/>
    </sheetView>
  </sheetViews>
  <sheetFormatPr baseColWidth="10"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5703125" style="1" customWidth="1"/>
    <col min="9" max="9" width="11" style="1" bestFit="1" customWidth="1"/>
    <col min="10" max="10" width="27.28515625" style="1" bestFit="1" customWidth="1"/>
    <col min="11" max="11" width="30.5703125" style="1" hidden="1" customWidth="1"/>
    <col min="12" max="12" width="17.5703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49.140625" style="1" customWidth="1"/>
    <col min="34" max="34" width="14.85546875" style="1" customWidth="1"/>
    <col min="35" max="35" width="18.5703125" style="1" customWidth="1"/>
    <col min="36" max="36" width="21" style="1" customWidth="1"/>
    <col min="37" max="37" width="23.140625" style="1" customWidth="1"/>
    <col min="38" max="38" width="20.28515625" style="1" customWidth="1"/>
    <col min="39" max="16384" width="11.42578125" style="1"/>
  </cols>
  <sheetData>
    <row r="1" spans="1:68" ht="16.5" customHeight="1" thickBot="1" x14ac:dyDescent="0.35">
      <c r="A1" s="253" t="s">
        <v>144</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148" t="s">
        <v>263</v>
      </c>
      <c r="AJ1" s="149" t="s">
        <v>264</v>
      </c>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thickBot="1" x14ac:dyDescent="0.35">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150" t="s">
        <v>265</v>
      </c>
      <c r="AJ2" s="152">
        <v>4</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6.5" customHeight="1" thickBot="1" x14ac:dyDescent="0.3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150" t="s">
        <v>266</v>
      </c>
      <c r="AJ3" s="151" t="s">
        <v>272</v>
      </c>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61" t="s">
        <v>43</v>
      </c>
      <c r="B4" s="262"/>
      <c r="C4" s="245" t="s">
        <v>267</v>
      </c>
      <c r="D4" s="246"/>
      <c r="E4" s="246"/>
      <c r="F4" s="246"/>
      <c r="G4" s="246"/>
      <c r="H4" s="246"/>
      <c r="I4" s="246"/>
      <c r="J4" s="246"/>
      <c r="K4" s="246"/>
      <c r="L4" s="246"/>
      <c r="M4" s="246"/>
      <c r="N4" s="247"/>
      <c r="O4" s="223"/>
      <c r="P4" s="223"/>
      <c r="Q4" s="223"/>
      <c r="R4" s="8"/>
      <c r="S4" s="8"/>
      <c r="T4" s="8"/>
      <c r="U4" s="8"/>
      <c r="V4" s="8"/>
      <c r="W4" s="8"/>
      <c r="X4" s="8"/>
      <c r="Y4" s="8"/>
      <c r="Z4" s="8"/>
      <c r="AA4" s="8"/>
      <c r="AB4" s="8"/>
      <c r="AC4" s="8"/>
      <c r="AD4" s="8"/>
      <c r="AE4" s="8"/>
      <c r="AF4" s="8"/>
      <c r="AG4" s="8"/>
      <c r="AH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54.75" customHeight="1" x14ac:dyDescent="0.3">
      <c r="A5" s="261" t="s">
        <v>130</v>
      </c>
      <c r="B5" s="262"/>
      <c r="C5" s="242" t="s">
        <v>225</v>
      </c>
      <c r="D5" s="243"/>
      <c r="E5" s="243"/>
      <c r="F5" s="243"/>
      <c r="G5" s="243"/>
      <c r="H5" s="243"/>
      <c r="I5" s="243"/>
      <c r="J5" s="243"/>
      <c r="K5" s="243"/>
      <c r="L5" s="243"/>
      <c r="M5" s="243"/>
      <c r="N5" s="244"/>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61" t="s">
        <v>44</v>
      </c>
      <c r="B6" s="262"/>
      <c r="C6" s="242" t="s">
        <v>226</v>
      </c>
      <c r="D6" s="243"/>
      <c r="E6" s="243"/>
      <c r="F6" s="243"/>
      <c r="G6" s="243"/>
      <c r="H6" s="243"/>
      <c r="I6" s="243"/>
      <c r="J6" s="243"/>
      <c r="K6" s="243"/>
      <c r="L6" s="243"/>
      <c r="M6" s="243"/>
      <c r="N6" s="24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0" t="s">
        <v>139</v>
      </c>
      <c r="B7" s="251"/>
      <c r="C7" s="251"/>
      <c r="D7" s="251"/>
      <c r="E7" s="251"/>
      <c r="F7" s="251"/>
      <c r="G7" s="252"/>
      <c r="H7" s="250" t="s">
        <v>140</v>
      </c>
      <c r="I7" s="251"/>
      <c r="J7" s="251"/>
      <c r="K7" s="251"/>
      <c r="L7" s="251"/>
      <c r="M7" s="251"/>
      <c r="N7" s="252"/>
      <c r="O7" s="250" t="s">
        <v>141</v>
      </c>
      <c r="P7" s="251"/>
      <c r="Q7" s="251"/>
      <c r="R7" s="251"/>
      <c r="S7" s="251"/>
      <c r="T7" s="251"/>
      <c r="U7" s="251"/>
      <c r="V7" s="251"/>
      <c r="W7" s="252"/>
      <c r="X7" s="250" t="s">
        <v>142</v>
      </c>
      <c r="Y7" s="251"/>
      <c r="Z7" s="251"/>
      <c r="AA7" s="251"/>
      <c r="AB7" s="251"/>
      <c r="AC7" s="251"/>
      <c r="AD7" s="252"/>
      <c r="AE7" s="250" t="s">
        <v>34</v>
      </c>
      <c r="AF7" s="251"/>
      <c r="AG7" s="251"/>
      <c r="AH7" s="251"/>
      <c r="AI7" s="251"/>
      <c r="AJ7" s="252"/>
      <c r="AK7" s="265" t="s">
        <v>270</v>
      </c>
      <c r="AL7" s="266"/>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63" t="s">
        <v>0</v>
      </c>
      <c r="B8" s="224" t="s">
        <v>2</v>
      </c>
      <c r="C8" s="225" t="s">
        <v>3</v>
      </c>
      <c r="D8" s="225" t="s">
        <v>42</v>
      </c>
      <c r="E8" s="272" t="s">
        <v>1</v>
      </c>
      <c r="F8" s="227" t="s">
        <v>50</v>
      </c>
      <c r="G8" s="225" t="s">
        <v>135</v>
      </c>
      <c r="H8" s="249" t="s">
        <v>33</v>
      </c>
      <c r="I8" s="240" t="s">
        <v>5</v>
      </c>
      <c r="J8" s="227" t="s">
        <v>87</v>
      </c>
      <c r="K8" s="227" t="s">
        <v>92</v>
      </c>
      <c r="L8" s="248" t="s">
        <v>45</v>
      </c>
      <c r="M8" s="240" t="s">
        <v>5</v>
      </c>
      <c r="N8" s="225" t="s">
        <v>48</v>
      </c>
      <c r="O8" s="259" t="s">
        <v>11</v>
      </c>
      <c r="P8" s="226" t="s">
        <v>163</v>
      </c>
      <c r="Q8" s="227" t="s">
        <v>12</v>
      </c>
      <c r="R8" s="226" t="s">
        <v>8</v>
      </c>
      <c r="S8" s="226"/>
      <c r="T8" s="226"/>
      <c r="U8" s="226"/>
      <c r="V8" s="226"/>
      <c r="W8" s="226"/>
      <c r="X8" s="258" t="s">
        <v>138</v>
      </c>
      <c r="Y8" s="258" t="s">
        <v>46</v>
      </c>
      <c r="Z8" s="258" t="s">
        <v>5</v>
      </c>
      <c r="AA8" s="258" t="s">
        <v>47</v>
      </c>
      <c r="AB8" s="258" t="s">
        <v>5</v>
      </c>
      <c r="AC8" s="258" t="s">
        <v>49</v>
      </c>
      <c r="AD8" s="259" t="s">
        <v>29</v>
      </c>
      <c r="AE8" s="226" t="s">
        <v>222</v>
      </c>
      <c r="AF8" s="226" t="s">
        <v>35</v>
      </c>
      <c r="AG8" s="226" t="s">
        <v>36</v>
      </c>
      <c r="AH8" s="226" t="s">
        <v>38</v>
      </c>
      <c r="AI8" s="226" t="s">
        <v>37</v>
      </c>
      <c r="AJ8" s="226" t="s">
        <v>39</v>
      </c>
      <c r="AK8" s="267"/>
      <c r="AL8" s="26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64"/>
      <c r="B9" s="224"/>
      <c r="C9" s="226"/>
      <c r="D9" s="226"/>
      <c r="E9" s="224"/>
      <c r="F9" s="225"/>
      <c r="G9" s="226"/>
      <c r="H9" s="225"/>
      <c r="I9" s="241"/>
      <c r="J9" s="225"/>
      <c r="K9" s="225"/>
      <c r="L9" s="241"/>
      <c r="M9" s="241"/>
      <c r="N9" s="226"/>
      <c r="O9" s="260"/>
      <c r="P9" s="226"/>
      <c r="Q9" s="225"/>
      <c r="R9" s="7" t="s">
        <v>13</v>
      </c>
      <c r="S9" s="7" t="s">
        <v>17</v>
      </c>
      <c r="T9" s="7" t="s">
        <v>28</v>
      </c>
      <c r="U9" s="7" t="s">
        <v>18</v>
      </c>
      <c r="V9" s="7" t="s">
        <v>21</v>
      </c>
      <c r="W9" s="7" t="s">
        <v>24</v>
      </c>
      <c r="X9" s="258"/>
      <c r="Y9" s="258"/>
      <c r="Z9" s="258"/>
      <c r="AA9" s="258"/>
      <c r="AB9" s="258"/>
      <c r="AC9" s="258"/>
      <c r="AD9" s="260"/>
      <c r="AE9" s="226"/>
      <c r="AF9" s="226"/>
      <c r="AG9" s="226"/>
      <c r="AH9" s="226"/>
      <c r="AI9" s="226"/>
      <c r="AJ9" s="226"/>
      <c r="AK9" s="226" t="s">
        <v>268</v>
      </c>
      <c r="AL9" s="226" t="s">
        <v>269</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05">
        <v>1</v>
      </c>
      <c r="B10" s="234"/>
      <c r="C10" s="269"/>
      <c r="D10" s="269"/>
      <c r="E10" s="269" t="s">
        <v>216</v>
      </c>
      <c r="F10" s="234"/>
      <c r="G10" s="237"/>
      <c r="H10" s="217" t="str">
        <f>IF(G10&lt;=0,"",IF(G10&lt;=2,"Muy Baja",IF(G10&lt;=24,"Baja",IF(G10&lt;=500,"Media",IF(G10&lt;=5000,"Alta","Muy Alta")))))</f>
        <v/>
      </c>
      <c r="I10" s="228" t="str">
        <f>IF(H10="","",IF(H10="Muy Baja",0.2,IF(H10="Baja",0.4,IF(H10="Media",0.6,IF(H10="Alta",0.8,IF(H10="Muy Alta",1,))))))</f>
        <v/>
      </c>
      <c r="J10" s="231"/>
      <c r="K10" s="196">
        <f>IF(NOT(ISERROR(MATCH(J10,'Tabla Impacto'!$B$221:$B$223,0))),'Tabla Impacto'!$F$223&amp;"Por favor no seleccionar los criterios de impacto(Afectación Económica o presupuestal y Pérdida Reputacional)",J10)</f>
        <v>0</v>
      </c>
      <c r="L10" s="217" t="str">
        <f>IF(OR(K10='Tabla Impacto'!$C$11,K10='Tabla Impacto'!$D$11),"Leve",IF(OR(K10='Tabla Impacto'!$C$12,K10='Tabla Impacto'!$D$12),"Menor",IF(OR(K10='Tabla Impacto'!$C$13,K10='Tabla Impacto'!$D$13),"Moderado",IF(OR(K10='Tabla Impacto'!$C$14,K10='Tabla Impacto'!$D$14),"Mayor",IF(OR(K10='Tabla Impacto'!$C$15,K10='Tabla Impacto'!$D$15),"Catastrófico","")))))</f>
        <v/>
      </c>
      <c r="M10" s="228" t="str">
        <f>IF(L10="","",IF(L10="Leve",0.2,IF(L10="Menor",0.4,IF(L10="Moderado",0.6,IF(L10="Mayor",0.8,IF(L10="Catastrófico",1,))))))</f>
        <v/>
      </c>
      <c r="N10" s="20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5" t="s">
        <v>214</v>
      </c>
      <c r="Q10" s="122" t="str">
        <f t="shared" ref="Q10:Q37" si="0">IF(OR(R10="Preventivo",R10="Detectivo"),"Probabilidad",IF(R10="Correctivo","Impacto",""))</f>
        <v/>
      </c>
      <c r="R10" s="123"/>
      <c r="S10" s="123"/>
      <c r="T10" s="136" t="str">
        <f t="shared" ref="T10:T37"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7" t="str">
        <f t="shared" ref="Z10:Z37" si="2">+X10</f>
        <v/>
      </c>
      <c r="AA10" s="126" t="str">
        <f>IFERROR(IF(AB10="","",IF(AB10&lt;=0.2,"Leve",IF(AB10&lt;=0.4,"Menor",IF(AB10&lt;=0.6,"Moderado",IF(AB10&lt;=0.8,"Mayor","Catastrófico"))))),"")</f>
        <v/>
      </c>
      <c r="AB10" s="136" t="str">
        <f>IFERROR(IF(Q10="Impacto",(M10-(+M10*T10)),IF(Q10="Probabilidad",M10,"")),"")</f>
        <v/>
      </c>
      <c r="AC10" s="128" t="str">
        <f t="shared" ref="AC10:AC37"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8"/>
      <c r="AF10" s="139"/>
      <c r="AG10" s="140"/>
      <c r="AH10" s="140"/>
      <c r="AI10" s="138"/>
      <c r="AJ10" s="139"/>
      <c r="AK10" s="226"/>
      <c r="AL10" s="2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06"/>
      <c r="B11" s="235"/>
      <c r="C11" s="270"/>
      <c r="D11" s="270"/>
      <c r="E11" s="270"/>
      <c r="F11" s="235"/>
      <c r="G11" s="238"/>
      <c r="H11" s="218"/>
      <c r="I11" s="229"/>
      <c r="J11" s="232"/>
      <c r="K11" s="197">
        <f>IF(NOT(ISERROR(MATCH(J11,_xlfn.ANCHORARRAY(E22),0))),I23&amp;"Por favor no seleccionar los criterios de impacto",J11)</f>
        <v>0</v>
      </c>
      <c r="L11" s="218"/>
      <c r="M11" s="229"/>
      <c r="N11" s="203"/>
      <c r="O11" s="120">
        <v>2</v>
      </c>
      <c r="P11" s="135" t="s">
        <v>215</v>
      </c>
      <c r="Q11" s="122" t="str">
        <f t="shared" si="0"/>
        <v/>
      </c>
      <c r="R11" s="123"/>
      <c r="S11" s="123"/>
      <c r="T11" s="136" t="str">
        <f t="shared" si="1"/>
        <v/>
      </c>
      <c r="U11" s="123"/>
      <c r="V11" s="123"/>
      <c r="W11" s="123"/>
      <c r="X11" s="125" t="str">
        <f>IFERROR(IF(AND(Q10="Probabilidad",Q11="Probabilidad"),(Z10-(+Z10*T11)),IF(Q11="Probabilidad",(I10-(+I10*T11)),IF(Q11="Impacto",Z10,""))),"")</f>
        <v/>
      </c>
      <c r="Y11" s="126" t="str">
        <f t="shared" ref="Y11:Y61" si="4">IFERROR(IF(X11="","",IF(X11&lt;=0.2,"Muy Baja",IF(X11&lt;=0.4,"Baja",IF(X11&lt;=0.6,"Media",IF(X11&lt;=0.8,"Alta","Muy Alta"))))),"")</f>
        <v/>
      </c>
      <c r="Z11" s="137" t="str">
        <f t="shared" si="2"/>
        <v/>
      </c>
      <c r="AA11" s="126" t="str">
        <f t="shared" ref="AA11:AA61" si="5">IFERROR(IF(AB11="","",IF(AB11&lt;=0.2,"Leve",IF(AB11&lt;=0.4,"Menor",IF(AB11&lt;=0.6,"Moderado",IF(AB11&lt;=0.8,"Mayor","Catastrófico"))))),"")</f>
        <v/>
      </c>
      <c r="AB11" s="136" t="str">
        <f>IFERROR(IF(AND(Q10="Impacto",Q11="Impacto"),(AB10-(+AB10*T11)),IF(Q11="Impacto",(M10-(+M10*T11)),IF(Q11="Probabilidad",AB10,""))),"")</f>
        <v/>
      </c>
      <c r="AC11" s="128" t="str">
        <f t="shared" si="3"/>
        <v/>
      </c>
      <c r="AD11" s="129"/>
      <c r="AE11" s="130"/>
      <c r="AF11" s="131"/>
      <c r="AG11" s="132"/>
      <c r="AH11" s="132"/>
      <c r="AI11" s="130"/>
      <c r="AJ11" s="131"/>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06"/>
      <c r="B12" s="235"/>
      <c r="C12" s="270"/>
      <c r="D12" s="270"/>
      <c r="E12" s="270"/>
      <c r="F12" s="235"/>
      <c r="G12" s="238"/>
      <c r="H12" s="218"/>
      <c r="I12" s="229"/>
      <c r="J12" s="232"/>
      <c r="K12" s="197">
        <f>IF(NOT(ISERROR(MATCH(J12,_xlfn.ANCHORARRAY(#REF!),0))),I24&amp;"Por favor no seleccionar los criterios de impacto",J12)</f>
        <v>0</v>
      </c>
      <c r="L12" s="218"/>
      <c r="M12" s="229"/>
      <c r="N12" s="203"/>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131"/>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06"/>
      <c r="B13" s="235"/>
      <c r="C13" s="270"/>
      <c r="D13" s="270"/>
      <c r="E13" s="270"/>
      <c r="F13" s="235"/>
      <c r="G13" s="238"/>
      <c r="H13" s="218"/>
      <c r="I13" s="229"/>
      <c r="J13" s="232"/>
      <c r="K13" s="197">
        <f>IF(NOT(ISERROR(MATCH(J13,_xlfn.ANCHORARRAY(E23),0))),I25&amp;"Por favor no seleccionar los criterios de impacto",J13)</f>
        <v>0</v>
      </c>
      <c r="L13" s="218"/>
      <c r="M13" s="229"/>
      <c r="N13" s="203"/>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131"/>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06"/>
      <c r="B14" s="235"/>
      <c r="C14" s="270"/>
      <c r="D14" s="270"/>
      <c r="E14" s="270"/>
      <c r="F14" s="235"/>
      <c r="G14" s="238"/>
      <c r="H14" s="218"/>
      <c r="I14" s="229"/>
      <c r="J14" s="232"/>
      <c r="K14" s="197">
        <f>IF(NOT(ISERROR(MATCH(J14,_xlfn.ANCHORARRAY(E24),0))),I26&amp;"Por favor no seleccionar los criterios de impacto",J14)</f>
        <v>0</v>
      </c>
      <c r="L14" s="218"/>
      <c r="M14" s="229"/>
      <c r="N14" s="203"/>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131"/>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 hidden="1" customHeight="1" x14ac:dyDescent="0.3">
      <c r="A15" s="207"/>
      <c r="B15" s="236"/>
      <c r="C15" s="271"/>
      <c r="D15" s="271"/>
      <c r="E15" s="271"/>
      <c r="F15" s="236"/>
      <c r="G15" s="239"/>
      <c r="H15" s="219"/>
      <c r="I15" s="230"/>
      <c r="J15" s="233"/>
      <c r="K15" s="198">
        <f>IF(NOT(ISERROR(MATCH(J15,_xlfn.ANCHORARRAY(E25),0))),I27&amp;"Por favor no seleccionar los criterios de impacto",J15)</f>
        <v>0</v>
      </c>
      <c r="L15" s="219"/>
      <c r="M15" s="230"/>
      <c r="N15" s="204"/>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131"/>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63.75" customHeight="1" x14ac:dyDescent="0.3">
      <c r="A16" s="205">
        <v>1</v>
      </c>
      <c r="B16" s="211" t="s">
        <v>133</v>
      </c>
      <c r="C16" s="211" t="s">
        <v>227</v>
      </c>
      <c r="D16" s="211" t="s">
        <v>229</v>
      </c>
      <c r="E16" s="211" t="s">
        <v>228</v>
      </c>
      <c r="F16" s="211" t="s">
        <v>123</v>
      </c>
      <c r="G16" s="214">
        <v>19</v>
      </c>
      <c r="H16" s="217" t="str">
        <f>IF(G16&lt;=0,"",IF(G16&lt;=2,"Muy Baja",IF(G16&lt;=24,"Baja",IF(G16&lt;=500,"Media",IF(G16&lt;=5000,"Alta","Muy Alta")))))</f>
        <v>Baja</v>
      </c>
      <c r="I16" s="196">
        <f>IF(H16="","",IF(H16="Muy Baja",0.2,IF(H16="Baja",0.4,IF(H16="Media",0.6,IF(H16="Alta",0.8,IF(H16="Muy Alta",1,))))))</f>
        <v>0.4</v>
      </c>
      <c r="J16" s="220" t="s">
        <v>150</v>
      </c>
      <c r="K16" s="255" t="str">
        <f>IF(NOT(ISERROR(MATCH(J16,'Tabla Impacto'!$B$221:$B$223,0))),'Tabla Impacto'!$F$223&amp;"Por favor no seleccionar los criterios de impacto(Afectación Económica o presupuestal y Pérdida Reputacional)",J16)</f>
        <v xml:space="preserve">     Entre 10 y 50 SMLMV </v>
      </c>
      <c r="L16" s="217" t="str">
        <f>IF(OR(K16='Tabla Impacto'!$C$11,K16='Tabla Impacto'!$D$11),"Leve",IF(OR(K16='Tabla Impacto'!$C$12,K16='Tabla Impacto'!$D$12),"Menor",IF(OR(K16='Tabla Impacto'!$C$13,K16='Tabla Impacto'!$D$13),"Moderado",IF(OR(K16='Tabla Impacto'!$C$14,K16='Tabla Impacto'!$D$14),"Mayor",IF(OR(K16='Tabla Impacto'!$C$15,K16='Tabla Impacto'!$D$15),"Catastrófico","")))))</f>
        <v>Menor</v>
      </c>
      <c r="M16" s="196">
        <f>IF(L16="","",IF(L16="Leve",0.2,IF(L16="Menor",0.4,IF(L16="Moderado",0.6,IF(L16="Mayor",0.8,IF(L16="Catastrófico",1,))))))</f>
        <v>0.4</v>
      </c>
      <c r="N16" s="20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0">
        <v>1</v>
      </c>
      <c r="P16" s="121" t="s">
        <v>241</v>
      </c>
      <c r="Q16" s="122" t="str">
        <f t="shared" si="0"/>
        <v>Probabilidad</v>
      </c>
      <c r="R16" s="142" t="s">
        <v>14</v>
      </c>
      <c r="S16" s="142" t="s">
        <v>9</v>
      </c>
      <c r="T16" s="124" t="str">
        <f t="shared" si="1"/>
        <v>40%</v>
      </c>
      <c r="U16" s="142" t="s">
        <v>19</v>
      </c>
      <c r="V16" s="142" t="s">
        <v>22</v>
      </c>
      <c r="W16" s="142" t="s">
        <v>119</v>
      </c>
      <c r="X16" s="143">
        <f>IFERROR(IF(Q16="Probabilidad",(I16-(+I16*T16)),IF(Q16="Impacto",I16,"")),"")</f>
        <v>0.24</v>
      </c>
      <c r="Y16" s="126" t="str">
        <f>IFERROR(IF(X16="","",IF(X16&lt;=0.2,"Muy Baja",IF(X16&lt;=0.4,"Baja",IF(X16&lt;=0.6,"Media",IF(X16&lt;=0.8,"Alta","Muy Alta"))))),"")</f>
        <v>Baja</v>
      </c>
      <c r="Z16" s="145">
        <f t="shared" si="2"/>
        <v>0.24</v>
      </c>
      <c r="AA16" s="144" t="str">
        <f>IFERROR(IF(AB16="","",IF(AB16&lt;=0.2,"Leve",IF(AB16&lt;=0.4,"Menor",IF(AB16&lt;=0.6,"Moderado",IF(AB16&lt;=0.8,"Mayor","Catastrófico"))))),"")</f>
        <v>Menor</v>
      </c>
      <c r="AB16" s="145">
        <f>IFERROR(IF(Q16="Impacto",(M16-(+M16*T16)),IF(Q16="Probabilidad",M16,"")),"")</f>
        <v>0.4</v>
      </c>
      <c r="AC16" s="146" t="str">
        <f t="shared" si="3"/>
        <v>Moderado</v>
      </c>
      <c r="AD16" s="147" t="s">
        <v>136</v>
      </c>
      <c r="AE16" s="130" t="s">
        <v>243</v>
      </c>
      <c r="AF16" s="130" t="s">
        <v>246</v>
      </c>
      <c r="AG16" s="141" t="s">
        <v>240</v>
      </c>
      <c r="AH16" s="141" t="s">
        <v>240</v>
      </c>
      <c r="AI16" s="141" t="s">
        <v>240</v>
      </c>
      <c r="AJ16" s="131" t="s">
        <v>41</v>
      </c>
      <c r="AK16" s="121"/>
      <c r="AL16" s="12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40.5" customHeight="1" x14ac:dyDescent="0.3">
      <c r="A17" s="206"/>
      <c r="B17" s="212"/>
      <c r="C17" s="212"/>
      <c r="D17" s="212"/>
      <c r="E17" s="212"/>
      <c r="F17" s="212"/>
      <c r="G17" s="215"/>
      <c r="H17" s="218"/>
      <c r="I17" s="197"/>
      <c r="J17" s="221"/>
      <c r="K17" s="256">
        <f>IF(NOT(ISERROR(MATCH(J17,_xlfn.ANCHORARRAY(E27),0))),I28&amp;"Por favor no seleccionar los criterios de impacto",J17)</f>
        <v>0</v>
      </c>
      <c r="L17" s="218"/>
      <c r="M17" s="197"/>
      <c r="N17" s="203"/>
      <c r="O17" s="120">
        <v>2</v>
      </c>
      <c r="P17" s="121" t="s">
        <v>242</v>
      </c>
      <c r="Q17" s="122" t="str">
        <f t="shared" si="0"/>
        <v>Probabilidad</v>
      </c>
      <c r="R17" s="142" t="s">
        <v>14</v>
      </c>
      <c r="S17" s="142" t="s">
        <v>9</v>
      </c>
      <c r="T17" s="124" t="str">
        <f t="shared" si="1"/>
        <v>40%</v>
      </c>
      <c r="U17" s="142" t="s">
        <v>19</v>
      </c>
      <c r="V17" s="142" t="s">
        <v>22</v>
      </c>
      <c r="W17" s="142" t="s">
        <v>119</v>
      </c>
      <c r="X17" s="143">
        <f>IFERROR(IF(AND(Q16="Probabilidad",Q17="Probabilidad"),(Z16-(+Z16*T17)),IF(Q17="Probabilidad",(I16-(+I16*T17)),IF(Q17="Impacto",Z16,""))),"")</f>
        <v>0.14399999999999999</v>
      </c>
      <c r="Y17" s="126" t="str">
        <f t="shared" si="4"/>
        <v>Muy Baja</v>
      </c>
      <c r="Z17" s="145">
        <f t="shared" si="2"/>
        <v>0.14399999999999999</v>
      </c>
      <c r="AA17" s="128" t="str">
        <f t="shared" si="5"/>
        <v>Menor</v>
      </c>
      <c r="AB17" s="145">
        <f>IFERROR(IF(AND(Q16="Impacto",Q17="Impacto"),(AB16-(+AB16*T17)),IF(Q17="Impacto",(M16-(+M16*T17)),IF(Q17="Probabilidad",AB16,""))),"")</f>
        <v>0.4</v>
      </c>
      <c r="AC17" s="128" t="str">
        <f t="shared" si="3"/>
        <v>Bajo</v>
      </c>
      <c r="AD17" s="147" t="s">
        <v>136</v>
      </c>
      <c r="AE17" s="130" t="s">
        <v>244</v>
      </c>
      <c r="AF17" s="130" t="s">
        <v>246</v>
      </c>
      <c r="AG17" s="141" t="s">
        <v>219</v>
      </c>
      <c r="AH17" s="141" t="s">
        <v>219</v>
      </c>
      <c r="AI17" s="141" t="s">
        <v>219</v>
      </c>
      <c r="AJ17" s="131" t="s">
        <v>41</v>
      </c>
      <c r="AK17" s="121"/>
      <c r="AL17" s="12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7.25" customHeight="1" x14ac:dyDescent="0.3">
      <c r="A18" s="206"/>
      <c r="B18" s="212"/>
      <c r="C18" s="212"/>
      <c r="D18" s="212"/>
      <c r="E18" s="212"/>
      <c r="F18" s="212"/>
      <c r="G18" s="215"/>
      <c r="H18" s="218"/>
      <c r="I18" s="197"/>
      <c r="J18" s="221"/>
      <c r="K18" s="256">
        <f>IF(NOT(ISERROR(MATCH(J18,_xlfn.ANCHORARRAY(#REF!),0))),I29&amp;"Por favor no seleccionar los criterios de impacto",J18)</f>
        <v>0</v>
      </c>
      <c r="L18" s="218"/>
      <c r="M18" s="197"/>
      <c r="N18" s="203"/>
      <c r="O18" s="120">
        <v>3</v>
      </c>
      <c r="P18" s="133" t="s">
        <v>247</v>
      </c>
      <c r="Q18" s="122" t="str">
        <f t="shared" si="0"/>
        <v>Probabilidad</v>
      </c>
      <c r="R18" s="142" t="s">
        <v>14</v>
      </c>
      <c r="S18" s="142" t="s">
        <v>9</v>
      </c>
      <c r="T18" s="124" t="str">
        <f t="shared" si="1"/>
        <v>40%</v>
      </c>
      <c r="U18" s="123" t="s">
        <v>19</v>
      </c>
      <c r="V18" s="123" t="s">
        <v>22</v>
      </c>
      <c r="W18" s="123" t="s">
        <v>119</v>
      </c>
      <c r="X18" s="125">
        <f>IFERROR(IF(AND(Q17="Probabilidad",Q18="Probabilidad"),(Z17-(+Z17*T18)),IF(AND(Q17="Impacto",Q18="Probabilidad"),(Z16-(+Z16*T18)),IF(Q18="Impacto",Z17,""))),"")</f>
        <v>8.6399999999999991E-2</v>
      </c>
      <c r="Y18" s="126" t="str">
        <f t="shared" si="4"/>
        <v>Muy Baja</v>
      </c>
      <c r="Z18" s="145">
        <f t="shared" si="2"/>
        <v>8.6399999999999991E-2</v>
      </c>
      <c r="AA18" s="128" t="str">
        <f t="shared" si="5"/>
        <v>Menor</v>
      </c>
      <c r="AB18" s="145">
        <f>IFERROR(IF(AND(Q17="Impacto",Q18="Impacto"),(AB17-(+AB17*T18)),IF(AND(Q17="Probabilidad",Q18="Impacto"),(AB16-(+AB16*T18)),IF(Q18="Probabilidad",AB17,""))),"")</f>
        <v>0.4</v>
      </c>
      <c r="AC18" s="128" t="str">
        <f t="shared" si="3"/>
        <v>Bajo</v>
      </c>
      <c r="AD18" s="129" t="s">
        <v>31</v>
      </c>
      <c r="AE18" s="130" t="s">
        <v>245</v>
      </c>
      <c r="AF18" s="130" t="s">
        <v>246</v>
      </c>
      <c r="AG18" s="141" t="s">
        <v>240</v>
      </c>
      <c r="AH18" s="141" t="s">
        <v>240</v>
      </c>
      <c r="AI18" s="141" t="s">
        <v>240</v>
      </c>
      <c r="AJ18" s="131" t="s">
        <v>41</v>
      </c>
      <c r="AK18" s="153"/>
      <c r="AL18" s="153"/>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75" hidden="1" customHeight="1" x14ac:dyDescent="0.3">
      <c r="A19" s="206"/>
      <c r="B19" s="212"/>
      <c r="C19" s="212"/>
      <c r="D19" s="212"/>
      <c r="E19" s="212"/>
      <c r="F19" s="212"/>
      <c r="G19" s="215"/>
      <c r="H19" s="218"/>
      <c r="I19" s="197"/>
      <c r="J19" s="221"/>
      <c r="K19" s="256">
        <f>IF(NOT(ISERROR(MATCH(J19,_xlfn.ANCHORARRAY(E28),0))),I30&amp;"Por favor no seleccionar los criterios de impacto",J19)</f>
        <v>0</v>
      </c>
      <c r="L19" s="218"/>
      <c r="M19" s="197"/>
      <c r="N19" s="203"/>
      <c r="O19" s="120">
        <v>4</v>
      </c>
      <c r="P19" s="121"/>
      <c r="Q19" s="122" t="str">
        <f t="shared" si="0"/>
        <v/>
      </c>
      <c r="R19" s="123"/>
      <c r="S19" s="123"/>
      <c r="T19" s="124" t="str">
        <f t="shared" si="1"/>
        <v/>
      </c>
      <c r="U19" s="123"/>
      <c r="V19" s="123"/>
      <c r="W19" s="123"/>
      <c r="X19" s="125" t="str">
        <f>IFERROR(IF(AND(Q18="Probabilidad",Q19="Probabilidad"),(Z18-(+Z18*T19)),IF(AND(Q18="Impacto",Q19="Probabilidad"),(Z17-(+Z17*T19)),IF(Q19="Impacto",Z18,""))),"")</f>
        <v/>
      </c>
      <c r="Y19" s="126" t="str">
        <f t="shared" si="4"/>
        <v/>
      </c>
      <c r="Z19" s="127" t="str">
        <f t="shared" si="2"/>
        <v/>
      </c>
      <c r="AA19" s="126" t="str">
        <f t="shared" si="5"/>
        <v/>
      </c>
      <c r="AB19" s="127" t="str">
        <f>IFERROR(IF(AND(Q18="Impacto",Q19="Impacto"),(AB18-(+AB18*T19)),IF(AND(Q18="Probabilidad",Q19="Impacto"),(AB17-(+AB17*T19)),IF(Q19="Probabilidad",AB18,""))),"")</f>
        <v/>
      </c>
      <c r="AC19" s="128" t="str">
        <f t="shared" si="3"/>
        <v/>
      </c>
      <c r="AD19" s="129"/>
      <c r="AE19" s="130"/>
      <c r="AF19" s="131"/>
      <c r="AG19" s="132"/>
      <c r="AH19" s="132"/>
      <c r="AI19" s="130"/>
      <c r="AJ19" s="131"/>
      <c r="AK19" s="154"/>
      <c r="AL19" s="154"/>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75" hidden="1" customHeight="1" x14ac:dyDescent="0.3">
      <c r="A20" s="206"/>
      <c r="B20" s="212"/>
      <c r="C20" s="212"/>
      <c r="D20" s="212"/>
      <c r="E20" s="212"/>
      <c r="F20" s="212"/>
      <c r="G20" s="215"/>
      <c r="H20" s="218"/>
      <c r="I20" s="197"/>
      <c r="J20" s="221"/>
      <c r="K20" s="256">
        <f>IF(NOT(ISERROR(MATCH(J20,_xlfn.ANCHORARRAY(E29),0))),I31&amp;"Por favor no seleccionar los criterios de impacto",J20)</f>
        <v>0</v>
      </c>
      <c r="L20" s="218"/>
      <c r="M20" s="197"/>
      <c r="N20" s="203"/>
      <c r="O20" s="120">
        <v>5</v>
      </c>
      <c r="P20" s="121"/>
      <c r="Q20" s="122" t="str">
        <f t="shared" si="0"/>
        <v/>
      </c>
      <c r="R20" s="123"/>
      <c r="S20" s="123"/>
      <c r="T20" s="124" t="str">
        <f t="shared" si="1"/>
        <v/>
      </c>
      <c r="U20" s="123"/>
      <c r="V20" s="123"/>
      <c r="W20" s="123"/>
      <c r="X20" s="125" t="str">
        <f>IFERROR(IF(AND(Q19="Probabilidad",Q20="Probabilidad"),(Z19-(+Z19*T20)),IF(AND(Q19="Impacto",Q20="Probabilidad"),(Z18-(+Z18*T20)),IF(Q20="Impacto",Z19,""))),"")</f>
        <v/>
      </c>
      <c r="Y20" s="126" t="str">
        <f t="shared" si="4"/>
        <v/>
      </c>
      <c r="Z20" s="127" t="str">
        <f t="shared" si="2"/>
        <v/>
      </c>
      <c r="AA20" s="126" t="str">
        <f t="shared" si="5"/>
        <v/>
      </c>
      <c r="AB20" s="127" t="str">
        <f>IFERROR(IF(AND(Q19="Impacto",Q20="Impacto"),(AB19-(+AB19*T20)),IF(AND(Q19="Probabilidad",Q20="Impacto"),(AB18-(+AB18*T20)),IF(Q20="Probabilidad",AB19,""))),"")</f>
        <v/>
      </c>
      <c r="AC20" s="128" t="str">
        <f t="shared" si="3"/>
        <v/>
      </c>
      <c r="AD20" s="129"/>
      <c r="AE20" s="130"/>
      <c r="AF20" s="131"/>
      <c r="AG20" s="132"/>
      <c r="AH20" s="132"/>
      <c r="AI20" s="130"/>
      <c r="AJ20" s="131"/>
      <c r="AK20" s="154"/>
      <c r="AL20" s="154"/>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75" hidden="1" customHeight="1" x14ac:dyDescent="0.3">
      <c r="A21" s="207"/>
      <c r="B21" s="213"/>
      <c r="C21" s="213"/>
      <c r="D21" s="213"/>
      <c r="E21" s="213"/>
      <c r="F21" s="213"/>
      <c r="G21" s="216"/>
      <c r="H21" s="219"/>
      <c r="I21" s="198"/>
      <c r="J21" s="222"/>
      <c r="K21" s="257">
        <f>IF(NOT(ISERROR(MATCH(J21,_xlfn.ANCHORARRAY(E30),0))),I32&amp;"Por favor no seleccionar los criterios de impacto",J21)</f>
        <v>0</v>
      </c>
      <c r="L21" s="219"/>
      <c r="M21" s="198"/>
      <c r="N21" s="204"/>
      <c r="O21" s="120">
        <v>6</v>
      </c>
      <c r="P21" s="121"/>
      <c r="Q21" s="122" t="str">
        <f t="shared" si="0"/>
        <v/>
      </c>
      <c r="R21" s="123"/>
      <c r="S21" s="123"/>
      <c r="T21" s="124" t="str">
        <f t="shared" si="1"/>
        <v/>
      </c>
      <c r="U21" s="123"/>
      <c r="V21" s="123"/>
      <c r="W21" s="123"/>
      <c r="X21" s="125" t="str">
        <f>IFERROR(IF(AND(Q20="Probabilidad",Q21="Probabilidad"),(Z20-(+Z20*T21)),IF(AND(Q20="Impacto",Q21="Probabilidad"),(Z19-(+Z19*T21)),IF(Q21="Impacto",Z20,""))),"")</f>
        <v/>
      </c>
      <c r="Y21" s="126" t="str">
        <f t="shared" si="4"/>
        <v/>
      </c>
      <c r="Z21" s="127" t="str">
        <f t="shared" si="2"/>
        <v/>
      </c>
      <c r="AA21" s="126" t="str">
        <f t="shared" si="5"/>
        <v/>
      </c>
      <c r="AB21" s="127" t="str">
        <f>IFERROR(IF(AND(Q20="Impacto",Q21="Impacto"),(AB20-(+AB20*T21)),IF(AND(Q20="Probabilidad",Q21="Impacto"),(AB19-(+AB19*T21)),IF(Q21="Probabilidad",AB20,""))),"")</f>
        <v/>
      </c>
      <c r="AC21" s="128" t="str">
        <f t="shared" si="3"/>
        <v/>
      </c>
      <c r="AD21" s="129"/>
      <c r="AE21" s="130"/>
      <c r="AF21" s="131"/>
      <c r="AG21" s="132"/>
      <c r="AH21" s="132"/>
      <c r="AI21" s="130"/>
      <c r="AJ21" s="131"/>
      <c r="AK21" s="154"/>
      <c r="AL21" s="154"/>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30" customHeight="1" x14ac:dyDescent="0.3">
      <c r="A22" s="205">
        <v>2</v>
      </c>
      <c r="B22" s="211" t="s">
        <v>134</v>
      </c>
      <c r="C22" s="211" t="s">
        <v>217</v>
      </c>
      <c r="D22" s="211" t="s">
        <v>223</v>
      </c>
      <c r="E22" s="211" t="s">
        <v>230</v>
      </c>
      <c r="F22" s="211" t="s">
        <v>123</v>
      </c>
      <c r="G22" s="214">
        <v>60</v>
      </c>
      <c r="H22" s="217" t="str">
        <f>IF(G22&lt;=0,"",IF(G22&lt;=2,"Muy Baja",IF(G22&lt;=24,"Baja",IF(G22&lt;=500,"Media",IF(G22&lt;=5000,"Alta","Muy Alta")))))</f>
        <v>Media</v>
      </c>
      <c r="I22" s="196">
        <f>IF(H22="","",IF(H22="Muy Baja",0.2,IF(H22="Baja",0.4,IF(H22="Media",0.6,IF(H22="Alta",0.8,IF(H22="Muy Alta",1,))))))</f>
        <v>0.6</v>
      </c>
      <c r="J22" s="220" t="s">
        <v>150</v>
      </c>
      <c r="K22" s="196" t="str">
        <f>IF(NOT(ISERROR(MATCH(J22,'Tabla Impacto'!$B$221:$B$223,0))),'Tabla Impacto'!$F$223&amp;"Por favor no seleccionar los criterios de impacto(Afectación Económica o presupuestal y Pérdida Reputacional)",J22)</f>
        <v xml:space="preserve">     Entre 10 y 50 SMLMV </v>
      </c>
      <c r="L22" s="217" t="str">
        <f>IF(OR(K22='Tabla Impacto'!$C$11,K22='Tabla Impacto'!$D$11),"Leve",IF(OR(K22='Tabla Impacto'!$C$12,K22='Tabla Impacto'!$D$12),"Menor",IF(OR(K22='Tabla Impacto'!$C$13,K22='Tabla Impacto'!$D$13),"Moderado",IF(OR(K22='Tabla Impacto'!$C$14,K22='Tabla Impacto'!$D$14),"Mayor",IF(OR(K22='Tabla Impacto'!$C$15,K22='Tabla Impacto'!$D$15),"Catastrófico","")))))</f>
        <v>Menor</v>
      </c>
      <c r="M22" s="196">
        <f>IF(L22="","",IF(L22="Leve",0.2,IF(L22="Menor",0.4,IF(L22="Moderado",0.6,IF(L22="Mayor",0.8,IF(L22="Catastrófico",1,))))))</f>
        <v>0.4</v>
      </c>
      <c r="N22" s="20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0">
        <v>1</v>
      </c>
      <c r="P22" s="121" t="s">
        <v>248</v>
      </c>
      <c r="Q22" s="122" t="str">
        <f t="shared" si="0"/>
        <v>Probabilidad</v>
      </c>
      <c r="R22" s="123" t="s">
        <v>15</v>
      </c>
      <c r="S22" s="123" t="s">
        <v>9</v>
      </c>
      <c r="T22" s="124" t="str">
        <f t="shared" si="1"/>
        <v>30%</v>
      </c>
      <c r="U22" s="123" t="s">
        <v>19</v>
      </c>
      <c r="V22" s="123" t="s">
        <v>22</v>
      </c>
      <c r="W22" s="123" t="s">
        <v>119</v>
      </c>
      <c r="X22" s="125">
        <f>IFERROR(IF(Q22="Probabilidad",(I22-(+I22*T22)),IF(Q22="Impacto",I22,"")),"")</f>
        <v>0.42</v>
      </c>
      <c r="Y22" s="126" t="str">
        <f>IFERROR(IF(X22="","",IF(X22&lt;=0.2,"Muy Baja",IF(X22&lt;=0.4,"Baja",IF(X22&lt;=0.6,"Media",IF(X22&lt;=0.8,"Alta","Muy Alta"))))),"")</f>
        <v>Media</v>
      </c>
      <c r="Z22" s="127">
        <f t="shared" si="2"/>
        <v>0.42</v>
      </c>
      <c r="AA22" s="126" t="str">
        <f>IFERROR(IF(AB22="","",IF(AB22&lt;=0.2,"Leve",IF(AB22&lt;=0.4,"Menor",IF(AB22&lt;=0.6,"Moderado",IF(AB22&lt;=0.8,"Mayor","Catastrófico"))))),"")</f>
        <v>Menor</v>
      </c>
      <c r="AB22" s="127">
        <f>IFERROR(IF(Q22="Impacto",(M22-(+M22*T22)),IF(Q22="Probabilidad",M22,"")),"")</f>
        <v>0.4</v>
      </c>
      <c r="AC22" s="128" t="str">
        <f t="shared" si="3"/>
        <v>Moderado</v>
      </c>
      <c r="AD22" s="129" t="s">
        <v>136</v>
      </c>
      <c r="AE22" s="130" t="s">
        <v>252</v>
      </c>
      <c r="AF22" s="130" t="s">
        <v>253</v>
      </c>
      <c r="AG22" s="132" t="s">
        <v>240</v>
      </c>
      <c r="AH22" s="132" t="s">
        <v>240</v>
      </c>
      <c r="AI22" s="132" t="s">
        <v>240</v>
      </c>
      <c r="AJ22" s="131" t="s">
        <v>41</v>
      </c>
      <c r="AK22" s="155"/>
      <c r="AL22" s="155"/>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21.75" hidden="1" customHeight="1" x14ac:dyDescent="0.3">
      <c r="A23" s="206"/>
      <c r="B23" s="212"/>
      <c r="C23" s="212"/>
      <c r="D23" s="212"/>
      <c r="E23" s="212"/>
      <c r="F23" s="212"/>
      <c r="G23" s="215"/>
      <c r="H23" s="218"/>
      <c r="I23" s="197"/>
      <c r="J23" s="221"/>
      <c r="K23" s="197">
        <f>IF(NOT(ISERROR(MATCH(J23,_xlfn.ANCHORARRAY(E33),0))),I35&amp;"Por favor no seleccionar los criterios de impacto",J23)</f>
        <v>0</v>
      </c>
      <c r="L23" s="218"/>
      <c r="M23" s="197"/>
      <c r="N23" s="203"/>
      <c r="O23" s="120">
        <v>3</v>
      </c>
      <c r="P23" s="133"/>
      <c r="Q23" s="122" t="str">
        <f t="shared" si="0"/>
        <v/>
      </c>
      <c r="R23" s="123"/>
      <c r="S23" s="123"/>
      <c r="T23" s="124" t="str">
        <f t="shared" si="1"/>
        <v/>
      </c>
      <c r="U23" s="123"/>
      <c r="V23" s="123"/>
      <c r="W23" s="123"/>
      <c r="X23" s="125" t="str">
        <f>IFERROR(IF(AND(#REF!="Probabilidad",Q23="Probabilidad"),(#REF!-(+#REF!*T23)),IF(AND(#REF!="Impacto",Q23="Probabilidad"),(Z22-(+Z22*T23)),IF(Q23="Impacto",#REF!,""))),"")</f>
        <v/>
      </c>
      <c r="Y23" s="126" t="str">
        <f t="shared" si="4"/>
        <v/>
      </c>
      <c r="Z23" s="127" t="str">
        <f t="shared" si="2"/>
        <v/>
      </c>
      <c r="AA23" s="126" t="str">
        <f t="shared" si="5"/>
        <v/>
      </c>
      <c r="AB23" s="127" t="str">
        <f>IFERROR(IF(AND(#REF!="Impacto",Q23="Impacto"),(#REF!-(+#REF!*T23)),IF(AND(#REF!="Probabilidad",Q23="Impacto"),(AB22-(+AB22*T23)),IF(Q23="Probabilidad",#REF!,""))),"")</f>
        <v/>
      </c>
      <c r="AC23" s="128" t="str">
        <f t="shared" si="3"/>
        <v/>
      </c>
      <c r="AD23" s="129"/>
      <c r="AE23" s="130"/>
      <c r="AF23" s="131"/>
      <c r="AG23" s="132"/>
      <c r="AH23" s="132"/>
      <c r="AI23" s="130"/>
      <c r="AJ23" s="131"/>
      <c r="AK23" s="155"/>
      <c r="AL23" s="156"/>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21.75" hidden="1" customHeight="1" x14ac:dyDescent="0.3">
      <c r="A24" s="206"/>
      <c r="B24" s="212"/>
      <c r="C24" s="212"/>
      <c r="D24" s="212"/>
      <c r="E24" s="212"/>
      <c r="F24" s="212"/>
      <c r="G24" s="215"/>
      <c r="H24" s="218"/>
      <c r="I24" s="197"/>
      <c r="J24" s="221"/>
      <c r="K24" s="197">
        <f>IF(NOT(ISERROR(MATCH(J24,_xlfn.ANCHORARRAY(E34),0))),I36&amp;"Por favor no seleccionar los criterios de impacto",J24)</f>
        <v>0</v>
      </c>
      <c r="L24" s="218"/>
      <c r="M24" s="197"/>
      <c r="N24" s="203"/>
      <c r="O24" s="120">
        <v>4</v>
      </c>
      <c r="P24" s="121"/>
      <c r="Q24" s="122" t="str">
        <f t="shared" si="0"/>
        <v/>
      </c>
      <c r="R24" s="123"/>
      <c r="S24" s="123"/>
      <c r="T24" s="124" t="str">
        <f t="shared" si="1"/>
        <v/>
      </c>
      <c r="U24" s="123"/>
      <c r="V24" s="123"/>
      <c r="W24" s="123"/>
      <c r="X24" s="125" t="str">
        <f>IFERROR(IF(AND(Q23="Probabilidad",Q24="Probabilidad"),(Z23-(+Z23*T24)),IF(AND(Q23="Impacto",Q24="Probabilidad"),(#REF!-(+#REF!*T24)),IF(Q24="Impacto",Z23,""))),"")</f>
        <v/>
      </c>
      <c r="Y24" s="126" t="str">
        <f t="shared" si="4"/>
        <v/>
      </c>
      <c r="Z24" s="127" t="str">
        <f t="shared" si="2"/>
        <v/>
      </c>
      <c r="AA24" s="126" t="str">
        <f t="shared" si="5"/>
        <v/>
      </c>
      <c r="AB24" s="127" t="str">
        <f>IFERROR(IF(AND(Q23="Impacto",Q24="Impacto"),(AB23-(+AB23*T24)),IF(AND(Q23="Probabilidad",Q24="Impacto"),(#REF!-(+#REF!*T24)),IF(Q24="Probabilidad",AB23,""))),"")</f>
        <v/>
      </c>
      <c r="AC24" s="128" t="str">
        <f t="shared" si="3"/>
        <v/>
      </c>
      <c r="AD24" s="129"/>
      <c r="AE24" s="130"/>
      <c r="AF24" s="131"/>
      <c r="AG24" s="132"/>
      <c r="AH24" s="132"/>
      <c r="AI24" s="130"/>
      <c r="AJ24" s="131"/>
      <c r="AK24" s="153"/>
      <c r="AL24" s="154"/>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21.75" hidden="1" customHeight="1" x14ac:dyDescent="0.3">
      <c r="A25" s="206"/>
      <c r="B25" s="212"/>
      <c r="C25" s="212"/>
      <c r="D25" s="212"/>
      <c r="E25" s="212"/>
      <c r="F25" s="212"/>
      <c r="G25" s="215"/>
      <c r="H25" s="218"/>
      <c r="I25" s="197"/>
      <c r="J25" s="221"/>
      <c r="K25" s="197">
        <f>IF(NOT(ISERROR(MATCH(J25,_xlfn.ANCHORARRAY(E35),0))),I37&amp;"Por favor no seleccionar los criterios de impacto",J25)</f>
        <v>0</v>
      </c>
      <c r="L25" s="218"/>
      <c r="M25" s="197"/>
      <c r="N25" s="203"/>
      <c r="O25" s="120">
        <v>5</v>
      </c>
      <c r="P25" s="121"/>
      <c r="Q25" s="122" t="str">
        <f t="shared" si="0"/>
        <v/>
      </c>
      <c r="R25" s="123"/>
      <c r="S25" s="123"/>
      <c r="T25" s="124" t="str">
        <f t="shared" si="1"/>
        <v/>
      </c>
      <c r="U25" s="123"/>
      <c r="V25" s="123"/>
      <c r="W25" s="123"/>
      <c r="X25" s="125" t="str">
        <f>IFERROR(IF(AND(Q24="Probabilidad",Q25="Probabilidad"),(Z24-(+Z24*T25)),IF(AND(Q24="Impacto",Q25="Probabilidad"),(Z23-(+Z23*T25)),IF(Q25="Impacto",Z24,""))),"")</f>
        <v/>
      </c>
      <c r="Y25" s="126" t="str">
        <f t="shared" si="4"/>
        <v/>
      </c>
      <c r="Z25" s="127" t="str">
        <f t="shared" si="2"/>
        <v/>
      </c>
      <c r="AA25" s="126" t="str">
        <f t="shared" si="5"/>
        <v/>
      </c>
      <c r="AB25" s="127" t="str">
        <f>IFERROR(IF(AND(Q24="Impacto",Q25="Impacto"),(AB24-(+AB24*T25)),IF(AND(Q24="Probabilidad",Q25="Impacto"),(AB23-(+AB23*T25)),IF(Q25="Probabilidad",AB24,""))),"")</f>
        <v/>
      </c>
      <c r="AC25" s="128" t="str">
        <f t="shared" si="3"/>
        <v/>
      </c>
      <c r="AD25" s="129"/>
      <c r="AE25" s="130"/>
      <c r="AF25" s="131"/>
      <c r="AG25" s="132"/>
      <c r="AH25" s="132"/>
      <c r="AI25" s="130"/>
      <c r="AJ25" s="131"/>
      <c r="AK25" s="153"/>
      <c r="AL25" s="154"/>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21.75" hidden="1" customHeight="1" x14ac:dyDescent="0.3">
      <c r="A26" s="207"/>
      <c r="B26" s="213"/>
      <c r="C26" s="213"/>
      <c r="D26" s="213"/>
      <c r="E26" s="213"/>
      <c r="F26" s="213"/>
      <c r="G26" s="216"/>
      <c r="H26" s="219"/>
      <c r="I26" s="198"/>
      <c r="J26" s="222"/>
      <c r="K26" s="198">
        <f>IF(NOT(ISERROR(MATCH(J26,_xlfn.ANCHORARRAY(E36),0))),#REF!&amp;"Por favor no seleccionar los criterios de impacto",J26)</f>
        <v>0</v>
      </c>
      <c r="L26" s="219"/>
      <c r="M26" s="198"/>
      <c r="N26" s="204"/>
      <c r="O26" s="120">
        <v>6</v>
      </c>
      <c r="P26" s="121"/>
      <c r="Q26" s="122" t="str">
        <f t="shared" si="0"/>
        <v/>
      </c>
      <c r="R26" s="123"/>
      <c r="S26" s="123"/>
      <c r="T26" s="124" t="str">
        <f t="shared" si="1"/>
        <v/>
      </c>
      <c r="U26" s="123"/>
      <c r="V26" s="123"/>
      <c r="W26" s="123"/>
      <c r="X26" s="125" t="str">
        <f>IFERROR(IF(AND(Q25="Probabilidad",Q26="Probabilidad"),(Z25-(+Z25*T26)),IF(AND(Q25="Impacto",Q26="Probabilidad"),(Z24-(+Z24*T26)),IF(Q26="Impacto",Z25,""))),"")</f>
        <v/>
      </c>
      <c r="Y26" s="126" t="str">
        <f t="shared" si="4"/>
        <v/>
      </c>
      <c r="Z26" s="127" t="str">
        <f t="shared" si="2"/>
        <v/>
      </c>
      <c r="AA26" s="126" t="str">
        <f t="shared" si="5"/>
        <v/>
      </c>
      <c r="AB26" s="127" t="str">
        <f>IFERROR(IF(AND(Q25="Impacto",Q26="Impacto"),(AB25-(+AB25*T26)),IF(AND(Q25="Probabilidad",Q26="Impacto"),(AB24-(+AB24*T26)),IF(Q26="Probabilidad",AB25,""))),"")</f>
        <v/>
      </c>
      <c r="AC26" s="128" t="str">
        <f t="shared" si="3"/>
        <v/>
      </c>
      <c r="AD26" s="129"/>
      <c r="AE26" s="130"/>
      <c r="AF26" s="131"/>
      <c r="AG26" s="132"/>
      <c r="AH26" s="132"/>
      <c r="AI26" s="130"/>
      <c r="AJ26" s="131"/>
      <c r="AK26" s="153"/>
      <c r="AL26" s="154"/>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27" customHeight="1" x14ac:dyDescent="0.3">
      <c r="A27" s="205">
        <v>3</v>
      </c>
      <c r="B27" s="208" t="s">
        <v>133</v>
      </c>
      <c r="C27" s="208" t="s">
        <v>218</v>
      </c>
      <c r="D27" s="208" t="s">
        <v>232</v>
      </c>
      <c r="E27" s="211" t="s">
        <v>231</v>
      </c>
      <c r="F27" s="208" t="s">
        <v>123</v>
      </c>
      <c r="G27" s="214">
        <v>100</v>
      </c>
      <c r="H27" s="217" t="str">
        <f>IF(G27&lt;=0,"",IF(G27&lt;=2,"Muy Baja",IF(G27&lt;=24,"Baja",IF(G27&lt;=500,"Media",IF(G27&lt;=5000,"Alta","Muy Alta")))))</f>
        <v>Media</v>
      </c>
      <c r="I27" s="196">
        <f>IF(H27="","",IF(H27="Muy Baja",0.2,IF(H27="Baja",0.4,IF(H27="Media",0.6,IF(H27="Alta",0.8,IF(H27="Muy Alta",1,))))))</f>
        <v>0.6</v>
      </c>
      <c r="J27" s="220" t="s">
        <v>151</v>
      </c>
      <c r="K27" s="196" t="str">
        <f>IF(NOT(ISERROR(MATCH(J27,'Tabla Impacto'!$B$221:$B$223,0))),'Tabla Impacto'!$F$223&amp;"Por favor no seleccionar los criterios de impacto(Afectación Económica o presupuestal y Pérdida Reputacional)",J27)</f>
        <v xml:space="preserve">     Entre 100 y 500 SMLMV </v>
      </c>
      <c r="L27" s="217" t="str">
        <f>IF(OR(K27='Tabla Impacto'!$C$11,K27='Tabla Impacto'!$D$11),"Leve",IF(OR(K27='Tabla Impacto'!$C$12,K27='Tabla Impacto'!$D$12),"Menor",IF(OR(K27='Tabla Impacto'!$C$13,K27='Tabla Impacto'!$D$13),"Moderado",IF(OR(K27='Tabla Impacto'!$C$14,K27='Tabla Impacto'!$D$14),"Mayor",IF(OR(K27='Tabla Impacto'!$C$15,K27='Tabla Impacto'!$D$15),"Catastrófico","")))))</f>
        <v>Mayor</v>
      </c>
      <c r="M27" s="196">
        <f>IF(L27="","",IF(L27="Leve",0.2,IF(L27="Menor",0.4,IF(L27="Moderado",0.6,IF(L27="Mayor",0.8,IF(L27="Catastrófico",1,))))))</f>
        <v>0.8</v>
      </c>
      <c r="N27" s="202"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120">
        <v>1</v>
      </c>
      <c r="P27" s="121" t="s">
        <v>249</v>
      </c>
      <c r="Q27" s="122" t="str">
        <f t="shared" si="0"/>
        <v>Probabilidad</v>
      </c>
      <c r="R27" s="123" t="s">
        <v>14</v>
      </c>
      <c r="S27" s="123" t="s">
        <v>9</v>
      </c>
      <c r="T27" s="124" t="str">
        <f t="shared" si="1"/>
        <v>40%</v>
      </c>
      <c r="U27" s="123" t="s">
        <v>19</v>
      </c>
      <c r="V27" s="123" t="s">
        <v>22</v>
      </c>
      <c r="W27" s="123" t="s">
        <v>119</v>
      </c>
      <c r="X27" s="125">
        <f>IFERROR(IF(Q27="Probabilidad",(I27-(+I27*T27)),IF(Q27="Impacto",I27,"")),"")</f>
        <v>0.36</v>
      </c>
      <c r="Y27" s="126" t="str">
        <f>IFERROR(IF(X27="","",IF(X27&lt;=0.2,"Muy Baja",IF(X27&lt;=0.4,"Baja",IF(X27&lt;=0.6,"Media",IF(X27&lt;=0.8,"Alta","Muy Alta"))))),"")</f>
        <v>Baja</v>
      </c>
      <c r="Z27" s="127">
        <f t="shared" si="2"/>
        <v>0.36</v>
      </c>
      <c r="AA27" s="126" t="str">
        <f>IFERROR(IF(AB27="","",IF(AB27&lt;=0.2,"Leve",IF(AB27&lt;=0.4,"Menor",IF(AB27&lt;=0.6,"Moderado",IF(AB27&lt;=0.8,"Mayor","Catastrófico"))))),"")</f>
        <v>Mayor</v>
      </c>
      <c r="AB27" s="127">
        <f>IFERROR(IF(Q27="Impacto",(M27-(+M27*T27)),IF(Q27="Probabilidad",M27,"")),"")</f>
        <v>0.8</v>
      </c>
      <c r="AC27" s="128" t="str">
        <f t="shared" si="3"/>
        <v>Alto</v>
      </c>
      <c r="AD27" s="129" t="s">
        <v>136</v>
      </c>
      <c r="AE27" s="130" t="s">
        <v>249</v>
      </c>
      <c r="AF27" s="130" t="s">
        <v>253</v>
      </c>
      <c r="AG27" s="141" t="s">
        <v>254</v>
      </c>
      <c r="AH27" s="141" t="s">
        <v>224</v>
      </c>
      <c r="AI27" s="141" t="s">
        <v>224</v>
      </c>
      <c r="AJ27" s="131" t="s">
        <v>41</v>
      </c>
      <c r="AK27" s="156"/>
      <c r="AL27" s="156"/>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 customHeight="1" x14ac:dyDescent="0.3">
      <c r="A28" s="206"/>
      <c r="B28" s="209"/>
      <c r="C28" s="209"/>
      <c r="D28" s="209"/>
      <c r="E28" s="212"/>
      <c r="F28" s="209"/>
      <c r="G28" s="215"/>
      <c r="H28" s="218"/>
      <c r="I28" s="197"/>
      <c r="J28" s="221"/>
      <c r="K28" s="197">
        <f>IF(NOT(ISERROR(MATCH(J28,_xlfn.ANCHORARRAY(#REF!),0))),#REF!&amp;"Por favor no seleccionar los criterios de impacto",J28)</f>
        <v>0</v>
      </c>
      <c r="L28" s="218"/>
      <c r="M28" s="197"/>
      <c r="N28" s="203"/>
      <c r="O28" s="120">
        <v>2</v>
      </c>
      <c r="P28" s="133" t="s">
        <v>250</v>
      </c>
      <c r="Q28" s="122" t="str">
        <f t="shared" si="0"/>
        <v>Probabilidad</v>
      </c>
      <c r="R28" s="123" t="s">
        <v>14</v>
      </c>
      <c r="S28" s="123" t="s">
        <v>9</v>
      </c>
      <c r="T28" s="124" t="str">
        <f t="shared" si="1"/>
        <v>40%</v>
      </c>
      <c r="U28" s="123" t="s">
        <v>19</v>
      </c>
      <c r="V28" s="123" t="s">
        <v>22</v>
      </c>
      <c r="W28" s="123" t="s">
        <v>119</v>
      </c>
      <c r="X28" s="125" t="str">
        <f>IFERROR(IF(AND(#REF!="Probabilidad",Q28="Probabilidad"),(#REF!-(+#REF!*T28)),IF(AND(#REF!="Impacto",Q28="Probabilidad"),(Z27-(+Z27*T28)),IF(Q28="Impacto",#REF!,""))),"")</f>
        <v/>
      </c>
      <c r="Y28" s="126" t="str">
        <f t="shared" si="4"/>
        <v/>
      </c>
      <c r="Z28" s="127" t="str">
        <f t="shared" si="2"/>
        <v/>
      </c>
      <c r="AA28" s="126" t="str">
        <f t="shared" si="5"/>
        <v/>
      </c>
      <c r="AB28" s="127" t="str">
        <f>IFERROR(IF(AND(#REF!="Impacto",Q28="Impacto"),(#REF!-(+#REF!*T28)),IF(AND(#REF!="Probabilidad",Q28="Impacto"),(AB27-(+AB27*T28)),IF(Q28="Probabilidad",#REF!,""))),"")</f>
        <v/>
      </c>
      <c r="AC28" s="128" t="str">
        <f t="shared" si="3"/>
        <v/>
      </c>
      <c r="AD28" s="129"/>
      <c r="AE28" s="130" t="s">
        <v>250</v>
      </c>
      <c r="AF28" s="130" t="s">
        <v>253</v>
      </c>
      <c r="AG28" s="132" t="s">
        <v>219</v>
      </c>
      <c r="AH28" s="141" t="s">
        <v>224</v>
      </c>
      <c r="AI28" s="141" t="s">
        <v>224</v>
      </c>
      <c r="AJ28" s="131" t="s">
        <v>41</v>
      </c>
      <c r="AK28" s="155"/>
      <c r="AL28" s="155"/>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23.25" customHeight="1" x14ac:dyDescent="0.3">
      <c r="A29" s="206"/>
      <c r="B29" s="209"/>
      <c r="C29" s="209"/>
      <c r="D29" s="209"/>
      <c r="E29" s="212"/>
      <c r="F29" s="209"/>
      <c r="G29" s="215"/>
      <c r="H29" s="218"/>
      <c r="I29" s="197"/>
      <c r="J29" s="221"/>
      <c r="K29" s="197">
        <f>IF(NOT(ISERROR(MATCH(J29,_xlfn.ANCHORARRAY(#REF!),0))),#REF!&amp;"Por favor no seleccionar los criterios de impacto",J29)</f>
        <v>0</v>
      </c>
      <c r="L29" s="218"/>
      <c r="M29" s="197"/>
      <c r="N29" s="203"/>
      <c r="O29" s="120">
        <v>3</v>
      </c>
      <c r="P29" s="121" t="s">
        <v>251</v>
      </c>
      <c r="Q29" s="122" t="str">
        <f t="shared" si="0"/>
        <v>Probabilidad</v>
      </c>
      <c r="R29" s="123" t="s">
        <v>14</v>
      </c>
      <c r="S29" s="123" t="s">
        <v>9</v>
      </c>
      <c r="T29" s="124" t="str">
        <f t="shared" si="1"/>
        <v>40%</v>
      </c>
      <c r="U29" s="123" t="s">
        <v>19</v>
      </c>
      <c r="V29" s="123" t="s">
        <v>22</v>
      </c>
      <c r="W29" s="123" t="s">
        <v>119</v>
      </c>
      <c r="X29" s="125" t="str">
        <f>IFERROR(IF(AND(Q28="Probabilidad",Q29="Probabilidad"),(Z28-(+Z28*T29)),IF(AND(Q28="Impacto",Q29="Probabilidad"),(#REF!-(+#REF!*T29)),IF(Q29="Impacto",Z28,""))),"")</f>
        <v/>
      </c>
      <c r="Y29" s="126" t="str">
        <f t="shared" si="4"/>
        <v/>
      </c>
      <c r="Z29" s="127" t="str">
        <f t="shared" si="2"/>
        <v/>
      </c>
      <c r="AA29" s="126" t="str">
        <f t="shared" si="5"/>
        <v/>
      </c>
      <c r="AB29" s="127" t="str">
        <f>IFERROR(IF(AND(Q28="Impacto",Q29="Impacto"),(AB28-(+AB28*T29)),IF(AND(Q28="Probabilidad",Q29="Impacto"),(#REF!-(+#REF!*T29)),IF(Q29="Probabilidad",AB28,""))),"")</f>
        <v/>
      </c>
      <c r="AC29" s="128" t="str">
        <f t="shared" si="3"/>
        <v/>
      </c>
      <c r="AD29" s="129"/>
      <c r="AE29" s="130" t="s">
        <v>251</v>
      </c>
      <c r="AF29" s="130" t="s">
        <v>253</v>
      </c>
      <c r="AG29" s="132" t="s">
        <v>240</v>
      </c>
      <c r="AH29" s="132" t="s">
        <v>240</v>
      </c>
      <c r="AI29" s="132" t="s">
        <v>240</v>
      </c>
      <c r="AJ29" s="131" t="s">
        <v>41</v>
      </c>
      <c r="AK29" s="155"/>
      <c r="AL29" s="156"/>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 hidden="1" customHeight="1" x14ac:dyDescent="0.3">
      <c r="A30" s="206"/>
      <c r="B30" s="209"/>
      <c r="C30" s="209"/>
      <c r="D30" s="209"/>
      <c r="E30" s="212"/>
      <c r="F30" s="209"/>
      <c r="G30" s="215"/>
      <c r="H30" s="218"/>
      <c r="I30" s="197"/>
      <c r="J30" s="221"/>
      <c r="K30" s="197">
        <f>IF(NOT(ISERROR(MATCH(J30,_xlfn.ANCHORARRAY(#REF!),0))),#REF!&amp;"Por favor no seleccionar los criterios de impacto",J30)</f>
        <v>0</v>
      </c>
      <c r="L30" s="218"/>
      <c r="M30" s="197"/>
      <c r="N30" s="203"/>
      <c r="O30" s="120">
        <v>4</v>
      </c>
      <c r="P30" s="121"/>
      <c r="Q30" s="122" t="str">
        <f t="shared" si="0"/>
        <v/>
      </c>
      <c r="R30" s="123"/>
      <c r="S30" s="123"/>
      <c r="T30" s="124" t="str">
        <f t="shared" si="1"/>
        <v/>
      </c>
      <c r="U30" s="123"/>
      <c r="V30" s="123"/>
      <c r="W30" s="123"/>
      <c r="X30" s="134" t="str">
        <f>IFERROR(IF(AND(Q29="Probabilidad",Q30="Probabilidad"),(Z29-(+Z29*T30)),IF(AND(Q29="Impacto",Q30="Probabilidad"),(Z28-(+Z28*T30)),IF(Q30="Impacto",Z29,""))),"")</f>
        <v/>
      </c>
      <c r="Y30" s="126" t="str">
        <f>IFERROR(IF(X30="","",IF(X30&lt;=0.2,"Muy Baja",IF(X30&lt;=0.4,"Baja",IF(X30&lt;=0.6,"Media",IF(X30&lt;=0.8,"Alta","Muy Alta"))))),"")</f>
        <v/>
      </c>
      <c r="Z30" s="127" t="str">
        <f t="shared" si="2"/>
        <v/>
      </c>
      <c r="AA30" s="126" t="str">
        <f t="shared" si="5"/>
        <v/>
      </c>
      <c r="AB30" s="127" t="str">
        <f>IFERROR(IF(AND(Q29="Impacto",Q30="Impacto"),(AB29-(+AB29*T30)),IF(AND(Q29="Probabilidad",Q30="Impacto"),(AB28-(+AB28*T30)),IF(Q30="Probabilidad",AB29,""))),"")</f>
        <v/>
      </c>
      <c r="AC30" s="128" t="str">
        <f t="shared" si="3"/>
        <v/>
      </c>
      <c r="AD30" s="129"/>
      <c r="AE30" s="130"/>
      <c r="AF30" s="131"/>
      <c r="AG30" s="132"/>
      <c r="AH30" s="132"/>
      <c r="AI30" s="130"/>
      <c r="AJ30" s="131"/>
      <c r="AK30" s="153"/>
      <c r="AL30" s="154"/>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 hidden="1" customHeight="1" x14ac:dyDescent="0.3">
      <c r="A31" s="207"/>
      <c r="B31" s="210"/>
      <c r="C31" s="210"/>
      <c r="D31" s="210"/>
      <c r="E31" s="213"/>
      <c r="F31" s="210"/>
      <c r="G31" s="216"/>
      <c r="H31" s="219"/>
      <c r="I31" s="198"/>
      <c r="J31" s="222"/>
      <c r="K31" s="198">
        <f>IF(NOT(ISERROR(MATCH(J31,_xlfn.ANCHORARRAY(#REF!),0))),I38&amp;"Por favor no seleccionar los criterios de impacto",J31)</f>
        <v>0</v>
      </c>
      <c r="L31" s="219"/>
      <c r="M31" s="198"/>
      <c r="N31" s="204"/>
      <c r="O31" s="120">
        <v>5</v>
      </c>
      <c r="P31" s="121"/>
      <c r="Q31" s="122" t="str">
        <f t="shared" si="0"/>
        <v/>
      </c>
      <c r="R31" s="123"/>
      <c r="S31" s="123"/>
      <c r="T31" s="124" t="str">
        <f t="shared" si="1"/>
        <v/>
      </c>
      <c r="U31" s="123"/>
      <c r="V31" s="123"/>
      <c r="W31" s="123"/>
      <c r="X31" s="125" t="str">
        <f>IFERROR(IF(AND(Q30="Probabilidad",Q31="Probabilidad"),(Z30-(+Z30*T31)),IF(AND(Q30="Impacto",Q31="Probabilidad"),(Z29-(+Z29*T31)),IF(Q31="Impacto",Z30,""))),"")</f>
        <v/>
      </c>
      <c r="Y31" s="126" t="str">
        <f t="shared" si="4"/>
        <v/>
      </c>
      <c r="Z31" s="127" t="str">
        <f t="shared" si="2"/>
        <v/>
      </c>
      <c r="AA31" s="126" t="str">
        <f t="shared" si="5"/>
        <v/>
      </c>
      <c r="AB31" s="127" t="str">
        <f>IFERROR(IF(AND(Q30="Impacto",Q31="Impacto"),(AB30-(+AB30*T31)),IF(AND(Q30="Probabilidad",Q31="Impacto"),(AB29-(+AB29*T31)),IF(Q31="Probabilidad",AB30,""))),"")</f>
        <v/>
      </c>
      <c r="AC31" s="128" t="str">
        <f t="shared" si="3"/>
        <v/>
      </c>
      <c r="AD31" s="129"/>
      <c r="AE31" s="130"/>
      <c r="AF31" s="131"/>
      <c r="AG31" s="132"/>
      <c r="AH31" s="132"/>
      <c r="AI31" s="130"/>
      <c r="AJ31" s="131"/>
      <c r="AK31" s="153"/>
      <c r="AL31" s="154"/>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42.75" customHeight="1" x14ac:dyDescent="0.3">
      <c r="A32" s="205">
        <v>4</v>
      </c>
      <c r="B32" s="208" t="s">
        <v>134</v>
      </c>
      <c r="C32" s="208" t="s">
        <v>218</v>
      </c>
      <c r="D32" s="208" t="s">
        <v>234</v>
      </c>
      <c r="E32" s="211" t="s">
        <v>233</v>
      </c>
      <c r="F32" s="208" t="s">
        <v>123</v>
      </c>
      <c r="G32" s="214">
        <v>100</v>
      </c>
      <c r="H32" s="217" t="str">
        <f>IF(G32&lt;=0,"",IF(G32&lt;=2,"Muy Baja",IF(G32&lt;=24,"Baja",IF(G32&lt;=500,"Media",IF(G32&lt;=5000,"Alta","Muy Alta")))))</f>
        <v>Media</v>
      </c>
      <c r="I32" s="196">
        <f>IF(H32="","",IF(H32="Muy Baja",0.2,IF(H32="Baja",0.4,IF(H32="Media",0.6,IF(H32="Alta",0.8,IF(H32="Muy Alta",1,))))))</f>
        <v>0.6</v>
      </c>
      <c r="J32" s="220" t="s">
        <v>151</v>
      </c>
      <c r="K32" s="196" t="str">
        <f>IF(NOT(ISERROR(MATCH(J32,'Tabla Impacto'!$B$221:$B$223,0))),'Tabla Impacto'!$F$223&amp;"Por favor no seleccionar los criterios de impacto(Afectación Económica o presupuestal y Pérdida Reputacional)",J32)</f>
        <v xml:space="preserve">     Entre 100 y 500 SMLMV </v>
      </c>
      <c r="L32" s="217" t="str">
        <f>IF(OR(K32='Tabla Impacto'!$C$11,K32='Tabla Impacto'!$D$11),"Leve",IF(OR(K32='Tabla Impacto'!$C$12,K32='Tabla Impacto'!$D$12),"Menor",IF(OR(K32='Tabla Impacto'!$C$13,K32='Tabla Impacto'!$D$13),"Moderado",IF(OR(K32='Tabla Impacto'!$C$14,K32='Tabla Impacto'!$D$14),"Mayor",IF(OR(K32='Tabla Impacto'!$C$15,K32='Tabla Impacto'!$D$15),"Catastrófico","")))))</f>
        <v>Mayor</v>
      </c>
      <c r="M32" s="196">
        <f>IF(L32="","",IF(L32="Leve",0.2,IF(L32="Menor",0.4,IF(L32="Moderado",0.6,IF(L32="Mayor",0.8,IF(L32="Catastrófico",1,))))))</f>
        <v>0.8</v>
      </c>
      <c r="N32" s="202"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Alto</v>
      </c>
      <c r="O32" s="120">
        <v>1</v>
      </c>
      <c r="P32" s="121" t="s">
        <v>256</v>
      </c>
      <c r="Q32" s="122" t="str">
        <f t="shared" si="0"/>
        <v>Probabilidad</v>
      </c>
      <c r="R32" s="123" t="s">
        <v>15</v>
      </c>
      <c r="S32" s="123" t="s">
        <v>9</v>
      </c>
      <c r="T32" s="124" t="str">
        <f t="shared" si="1"/>
        <v>30%</v>
      </c>
      <c r="U32" s="123" t="s">
        <v>19</v>
      </c>
      <c r="V32" s="123" t="s">
        <v>22</v>
      </c>
      <c r="W32" s="123" t="s">
        <v>119</v>
      </c>
      <c r="X32" s="125">
        <f>IFERROR(IF(Q32="Probabilidad",(I32-(+I32*T32)),IF(Q32="Impacto",I32,"")),"")</f>
        <v>0.42</v>
      </c>
      <c r="Y32" s="126" t="str">
        <f>IFERROR(IF(X32="","",IF(X32&lt;=0.2,"Muy Baja",IF(X32&lt;=0.4,"Baja",IF(X32&lt;=0.6,"Media",IF(X32&lt;=0.8,"Alta","Muy Alta"))))),"")</f>
        <v>Media</v>
      </c>
      <c r="Z32" s="127">
        <f t="shared" si="2"/>
        <v>0.42</v>
      </c>
      <c r="AA32" s="126" t="str">
        <f>IFERROR(IF(AB32="","",IF(AB32&lt;=0.2,"Leve",IF(AB32&lt;=0.4,"Menor",IF(AB32&lt;=0.6,"Moderado",IF(AB32&lt;=0.8,"Mayor","Catastrófico"))))),"")</f>
        <v>Mayor</v>
      </c>
      <c r="AB32" s="127">
        <f>IFERROR(IF(Q32="Impacto",(M32-(+M32*T32)),IF(Q32="Probabilidad",M32,"")),"")</f>
        <v>0.8</v>
      </c>
      <c r="AC32" s="128" t="str">
        <f t="shared" si="3"/>
        <v>Alto</v>
      </c>
      <c r="AD32" s="129" t="s">
        <v>136</v>
      </c>
      <c r="AE32" s="130" t="s">
        <v>220</v>
      </c>
      <c r="AF32" s="130" t="s">
        <v>253</v>
      </c>
      <c r="AG32" s="132" t="s">
        <v>221</v>
      </c>
      <c r="AH32" s="132" t="s">
        <v>221</v>
      </c>
      <c r="AI32" s="130" t="s">
        <v>221</v>
      </c>
      <c r="AJ32" s="131" t="s">
        <v>41</v>
      </c>
      <c r="AK32" s="153"/>
      <c r="AL32" s="154"/>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39.75" customHeight="1" x14ac:dyDescent="0.3">
      <c r="A33" s="206"/>
      <c r="B33" s="209"/>
      <c r="C33" s="209"/>
      <c r="D33" s="209"/>
      <c r="E33" s="212"/>
      <c r="F33" s="209"/>
      <c r="G33" s="215"/>
      <c r="H33" s="218"/>
      <c r="I33" s="197"/>
      <c r="J33" s="221"/>
      <c r="K33" s="197">
        <f>IF(NOT(ISERROR(MATCH(J33,_xlfn.ANCHORARRAY(E38),0))),I40&amp;"Por favor no seleccionar los criterios de impacto",J33)</f>
        <v>0</v>
      </c>
      <c r="L33" s="218"/>
      <c r="M33" s="197"/>
      <c r="N33" s="203"/>
      <c r="O33" s="120">
        <v>2</v>
      </c>
      <c r="P33" s="121" t="s">
        <v>255</v>
      </c>
      <c r="Q33" s="122" t="str">
        <f t="shared" si="0"/>
        <v/>
      </c>
      <c r="R33" s="123"/>
      <c r="S33" s="123"/>
      <c r="T33" s="124" t="str">
        <f t="shared" si="1"/>
        <v/>
      </c>
      <c r="U33" s="123"/>
      <c r="V33" s="123"/>
      <c r="W33" s="123"/>
      <c r="X33" s="125" t="str">
        <f>IFERROR(IF(AND(Q32="Probabilidad",Q33="Probabilidad"),(Z32-(+Z32*T33)),IF(Q33="Probabilidad",(I32-(+I32*T33)),IF(Q33="Impacto",Z32,""))),"")</f>
        <v/>
      </c>
      <c r="Y33" s="126" t="str">
        <f t="shared" si="4"/>
        <v/>
      </c>
      <c r="Z33" s="127" t="str">
        <f t="shared" si="2"/>
        <v/>
      </c>
      <c r="AA33" s="126" t="str">
        <f t="shared" si="5"/>
        <v/>
      </c>
      <c r="AB33" s="127" t="str">
        <f>IFERROR(IF(AND(Q32="Impacto",Q33="Impacto"),(AB32-(+AB32*T33)),IF(Q33="Impacto",(M32-(+M32*T33)),IF(Q33="Probabilidad",AB32,""))),"")</f>
        <v/>
      </c>
      <c r="AC33" s="128" t="str">
        <f t="shared" si="3"/>
        <v/>
      </c>
      <c r="AD33" s="129"/>
      <c r="AE33" s="130"/>
      <c r="AF33" s="131"/>
      <c r="AG33" s="132"/>
      <c r="AH33" s="132"/>
      <c r="AI33" s="130"/>
      <c r="AJ33" s="131"/>
      <c r="AK33" s="156"/>
      <c r="AL33" s="156"/>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75" hidden="1" customHeight="1" x14ac:dyDescent="0.3">
      <c r="A34" s="206"/>
      <c r="B34" s="209"/>
      <c r="C34" s="209"/>
      <c r="D34" s="209"/>
      <c r="E34" s="212"/>
      <c r="F34" s="209"/>
      <c r="G34" s="215"/>
      <c r="H34" s="218"/>
      <c r="I34" s="197"/>
      <c r="J34" s="221"/>
      <c r="K34" s="197">
        <f>IF(NOT(ISERROR(MATCH(J34,_xlfn.ANCHORARRAY(E39),0))),I41&amp;"Por favor no seleccionar los criterios de impacto",J34)</f>
        <v>0</v>
      </c>
      <c r="L34" s="218"/>
      <c r="M34" s="197"/>
      <c r="N34" s="203"/>
      <c r="O34" s="120">
        <v>3</v>
      </c>
      <c r="P34" s="133"/>
      <c r="Q34" s="122" t="str">
        <f t="shared" si="0"/>
        <v/>
      </c>
      <c r="R34" s="123"/>
      <c r="S34" s="123"/>
      <c r="T34" s="124" t="str">
        <f t="shared" si="1"/>
        <v/>
      </c>
      <c r="U34" s="123"/>
      <c r="V34" s="123"/>
      <c r="W34" s="123"/>
      <c r="X34" s="125" t="str">
        <f>IFERROR(IF(AND(Q33="Probabilidad",Q34="Probabilidad"),(Z33-(+Z33*T34)),IF(AND(Q33="Impacto",Q34="Probabilidad"),(Z32-(+Z32*T34)),IF(Q34="Impacto",Z33,""))),"")</f>
        <v/>
      </c>
      <c r="Y34" s="126" t="str">
        <f t="shared" si="4"/>
        <v/>
      </c>
      <c r="Z34" s="127" t="str">
        <f t="shared" si="2"/>
        <v/>
      </c>
      <c r="AA34" s="126" t="str">
        <f t="shared" si="5"/>
        <v/>
      </c>
      <c r="AB34" s="127" t="str">
        <f>IFERROR(IF(AND(Q33="Impacto",Q34="Impacto"),(AB33-(+AB33*T34)),IF(AND(Q33="Probabilidad",Q34="Impacto"),(AB32-(+AB32*T34)),IF(Q34="Probabilidad",AB33,""))),"")</f>
        <v/>
      </c>
      <c r="AC34" s="128" t="str">
        <f t="shared" si="3"/>
        <v/>
      </c>
      <c r="AD34" s="129"/>
      <c r="AE34" s="130"/>
      <c r="AF34" s="131"/>
      <c r="AG34" s="132"/>
      <c r="AH34" s="132"/>
      <c r="AI34" s="130"/>
      <c r="AJ34" s="131"/>
      <c r="AK34" s="155"/>
      <c r="AL34" s="155"/>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75" hidden="1" customHeight="1" x14ac:dyDescent="0.3">
      <c r="A35" s="206"/>
      <c r="B35" s="209"/>
      <c r="C35" s="209"/>
      <c r="D35" s="209"/>
      <c r="E35" s="212"/>
      <c r="F35" s="209"/>
      <c r="G35" s="215"/>
      <c r="H35" s="218"/>
      <c r="I35" s="197"/>
      <c r="J35" s="221"/>
      <c r="K35" s="197">
        <f>IF(NOT(ISERROR(MATCH(J35,_xlfn.ANCHORARRAY(E40),0))),I42&amp;"Por favor no seleccionar los criterios de impacto",J35)</f>
        <v>0</v>
      </c>
      <c r="L35" s="218"/>
      <c r="M35" s="197"/>
      <c r="N35" s="203"/>
      <c r="O35" s="120">
        <v>4</v>
      </c>
      <c r="P35" s="121"/>
      <c r="Q35" s="122" t="str">
        <f t="shared" si="0"/>
        <v/>
      </c>
      <c r="R35" s="123"/>
      <c r="S35" s="123"/>
      <c r="T35" s="124" t="str">
        <f t="shared" si="1"/>
        <v/>
      </c>
      <c r="U35" s="123"/>
      <c r="V35" s="123"/>
      <c r="W35" s="123"/>
      <c r="X35" s="125" t="str">
        <f>IFERROR(IF(AND(Q34="Probabilidad",Q35="Probabilidad"),(Z34-(+Z34*T35)),IF(AND(Q34="Impacto",Q35="Probabilidad"),(Z33-(+Z33*T35)),IF(Q35="Impacto",Z34,""))),"")</f>
        <v/>
      </c>
      <c r="Y35" s="126" t="str">
        <f t="shared" si="4"/>
        <v/>
      </c>
      <c r="Z35" s="127" t="str">
        <f t="shared" si="2"/>
        <v/>
      </c>
      <c r="AA35" s="126" t="str">
        <f t="shared" si="5"/>
        <v/>
      </c>
      <c r="AB35" s="127" t="str">
        <f>IFERROR(IF(AND(Q34="Impacto",Q35="Impacto"),(AB34-(+AB34*T35)),IF(AND(Q34="Probabilidad",Q35="Impacto"),(AB33-(+AB33*T35)),IF(Q35="Probabilidad",AB34,""))),"")</f>
        <v/>
      </c>
      <c r="AC35" s="128" t="str">
        <f t="shared" si="3"/>
        <v/>
      </c>
      <c r="AD35" s="129"/>
      <c r="AE35" s="130"/>
      <c r="AF35" s="131"/>
      <c r="AG35" s="132"/>
      <c r="AH35" s="132"/>
      <c r="AI35" s="130"/>
      <c r="AJ35" s="131"/>
      <c r="AK35" s="155"/>
      <c r="AL35" s="156"/>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75" hidden="1" customHeight="1" x14ac:dyDescent="0.3">
      <c r="A36" s="206"/>
      <c r="B36" s="209"/>
      <c r="C36" s="209"/>
      <c r="D36" s="209"/>
      <c r="E36" s="212"/>
      <c r="F36" s="209"/>
      <c r="G36" s="215"/>
      <c r="H36" s="218"/>
      <c r="I36" s="197"/>
      <c r="J36" s="221"/>
      <c r="K36" s="197">
        <f>IF(NOT(ISERROR(MATCH(J36,_xlfn.ANCHORARRAY(E41),0))),I43&amp;"Por favor no seleccionar los criterios de impacto",J36)</f>
        <v>0</v>
      </c>
      <c r="L36" s="218"/>
      <c r="M36" s="197"/>
      <c r="N36" s="203"/>
      <c r="O36" s="120">
        <v>5</v>
      </c>
      <c r="P36" s="121"/>
      <c r="Q36" s="122" t="str">
        <f t="shared" si="0"/>
        <v/>
      </c>
      <c r="R36" s="123"/>
      <c r="S36" s="123"/>
      <c r="T36" s="124" t="str">
        <f t="shared" si="1"/>
        <v/>
      </c>
      <c r="U36" s="123"/>
      <c r="V36" s="123"/>
      <c r="W36" s="123"/>
      <c r="X36" s="125" t="str">
        <f>IFERROR(IF(AND(Q35="Probabilidad",Q36="Probabilidad"),(Z35-(+Z35*T36)),IF(AND(Q35="Impacto",Q36="Probabilidad"),(Z34-(+Z34*T36)),IF(Q36="Impacto",Z35,""))),"")</f>
        <v/>
      </c>
      <c r="Y36" s="126" t="str">
        <f t="shared" si="4"/>
        <v/>
      </c>
      <c r="Z36" s="127" t="str">
        <f t="shared" si="2"/>
        <v/>
      </c>
      <c r="AA36" s="126" t="str">
        <f t="shared" si="5"/>
        <v/>
      </c>
      <c r="AB36" s="127" t="str">
        <f>IFERROR(IF(AND(Q35="Impacto",Q36="Impacto"),(AB35-(+AB35*T36)),IF(AND(Q35="Probabilidad",Q36="Impacto"),(AB34-(+AB34*T36)),IF(Q36="Probabilidad",AB35,""))),"")</f>
        <v/>
      </c>
      <c r="AC36" s="128" t="str">
        <f t="shared" si="3"/>
        <v/>
      </c>
      <c r="AD36" s="129"/>
      <c r="AE36" s="130"/>
      <c r="AF36" s="131"/>
      <c r="AG36" s="132"/>
      <c r="AH36" s="132"/>
      <c r="AI36" s="130"/>
      <c r="AJ36" s="131"/>
      <c r="AK36" s="153"/>
      <c r="AL36" s="154"/>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26.25" hidden="1" customHeight="1" x14ac:dyDescent="0.3">
      <c r="A37" s="207"/>
      <c r="B37" s="210"/>
      <c r="C37" s="210"/>
      <c r="D37" s="210"/>
      <c r="E37" s="213"/>
      <c r="F37" s="210"/>
      <c r="G37" s="216"/>
      <c r="H37" s="219"/>
      <c r="I37" s="198"/>
      <c r="J37" s="222"/>
      <c r="K37" s="198">
        <f>IF(NOT(ISERROR(MATCH(J37,_xlfn.ANCHORARRAY(E42),0))),I44&amp;"Por favor no seleccionar los criterios de impacto",J37)</f>
        <v>0</v>
      </c>
      <c r="L37" s="219"/>
      <c r="M37" s="198"/>
      <c r="N37" s="204"/>
      <c r="O37" s="120">
        <v>6</v>
      </c>
      <c r="P37" s="121"/>
      <c r="Q37" s="122" t="str">
        <f t="shared" si="0"/>
        <v/>
      </c>
      <c r="R37" s="123"/>
      <c r="S37" s="123"/>
      <c r="T37" s="124" t="str">
        <f t="shared" si="1"/>
        <v/>
      </c>
      <c r="U37" s="123"/>
      <c r="V37" s="123"/>
      <c r="W37" s="123"/>
      <c r="X37" s="125" t="str">
        <f>IFERROR(IF(AND(Q36="Probabilidad",Q37="Probabilidad"),(Z36-(+Z36*T37)),IF(AND(Q36="Impacto",Q37="Probabilidad"),(Z35-(+Z35*T37)),IF(Q37="Impacto",Z36,""))),"")</f>
        <v/>
      </c>
      <c r="Y37" s="126" t="str">
        <f t="shared" si="4"/>
        <v/>
      </c>
      <c r="Z37" s="127" t="str">
        <f t="shared" si="2"/>
        <v/>
      </c>
      <c r="AA37" s="126" t="str">
        <f t="shared" si="5"/>
        <v/>
      </c>
      <c r="AB37" s="127" t="str">
        <f>IFERROR(IF(AND(Q36="Impacto",Q37="Impacto"),(AB36-(+AB36*T37)),IF(AND(Q36="Probabilidad",Q37="Impacto"),(AB35-(+AB35*T37)),IF(Q37="Probabilidad",AB36,""))),"")</f>
        <v/>
      </c>
      <c r="AC37" s="128" t="str">
        <f t="shared" si="3"/>
        <v/>
      </c>
      <c r="AD37" s="129"/>
      <c r="AE37" s="130"/>
      <c r="AF37" s="131"/>
      <c r="AG37" s="132"/>
      <c r="AH37" s="132"/>
      <c r="AI37" s="130"/>
      <c r="AJ37" s="131"/>
      <c r="AK37" s="153"/>
      <c r="AL37" s="154"/>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70.5" customHeight="1" x14ac:dyDescent="0.3">
      <c r="A38" s="205">
        <v>5</v>
      </c>
      <c r="B38" s="208" t="s">
        <v>134</v>
      </c>
      <c r="C38" s="208" t="s">
        <v>218</v>
      </c>
      <c r="D38" s="208" t="s">
        <v>236</v>
      </c>
      <c r="E38" s="211" t="s">
        <v>235</v>
      </c>
      <c r="F38" s="208" t="s">
        <v>129</v>
      </c>
      <c r="G38" s="214">
        <v>100</v>
      </c>
      <c r="H38" s="217" t="str">
        <f>IF(G38&lt;=0,"",IF(G38&lt;=2,"Muy Baja",IF(G38&lt;=24,"Baja",IF(G38&lt;=500,"Media",IF(G38&lt;=5000,"Alta","Muy Alta")))))</f>
        <v>Media</v>
      </c>
      <c r="I38" s="196">
        <f>IF(H38="","",IF(H38="Muy Baja",0.2,IF(H38="Baja",0.4,IF(H38="Media",0.6,IF(H38="Alta",0.8,IF(H38="Muy Alta",1,))))))</f>
        <v>0.6</v>
      </c>
      <c r="J38" s="220" t="s">
        <v>57</v>
      </c>
      <c r="K38" s="196" t="str">
        <f>IF(NOT(ISERROR(MATCH(J38,'Tabla Impacto'!$B$221:$B$223,0))),'Tabla Impacto'!$F$223&amp;"Por favor no seleccionar los criterios de impacto(Afectación Económica o presupuestal y Pérdida Reputacional)",J38)</f>
        <v>❌Por favor no seleccionar los criterios de impacto(Afectación Económica o presupuestal y Pérdida Reputacional)</v>
      </c>
      <c r="L38" s="217" t="str">
        <f>IF(OR(K38='Tabla Impacto'!$C$11,K38='Tabla Impacto'!$D$11),"Leve",IF(OR(K38='Tabla Impacto'!$C$12,K38='Tabla Impacto'!$D$12),"Menor",IF(OR(K38='Tabla Impacto'!$C$13,K38='Tabla Impacto'!$D$13),"Moderado",IF(OR(K38='Tabla Impacto'!$C$14,K38='Tabla Impacto'!$D$14),"Mayor",IF(OR(K38='Tabla Impacto'!$C$15,K38='Tabla Impacto'!$D$15),"Catastrófico","")))))</f>
        <v/>
      </c>
      <c r="M38" s="196" t="str">
        <f>IF(L38="","",IF(L38="Leve",0.2,IF(L38="Menor",0.4,IF(L38="Moderado",0.6,IF(L38="Mayor",0.8,IF(L38="Catastrófico",1,))))))</f>
        <v/>
      </c>
      <c r="N38" s="202"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20">
        <v>1</v>
      </c>
      <c r="P38" s="121" t="s">
        <v>237</v>
      </c>
      <c r="Q38" s="122" t="str">
        <f t="shared" ref="Q38:Q61" si="6">IF(OR(R38="Preventivo",R38="Detectivo"),"Probabilidad",IF(R38="Correctivo","Impacto",""))</f>
        <v>Impacto</v>
      </c>
      <c r="R38" s="123" t="s">
        <v>16</v>
      </c>
      <c r="S38" s="123" t="s">
        <v>9</v>
      </c>
      <c r="T38" s="124" t="str">
        <f t="shared" ref="T38:T61" si="7">IF(AND(R38="Preventivo",S38="Automático"),"50%",IF(AND(R38="Preventivo",S38="Manual"),"40%",IF(AND(R38="Detectivo",S38="Automático"),"40%",IF(AND(R38="Detectivo",S38="Manual"),"30%",IF(AND(R38="Correctivo",S38="Automático"),"35%",IF(AND(R38="Correctivo",S38="Manual"),"25%",""))))))</f>
        <v>25%</v>
      </c>
      <c r="U38" s="123" t="s">
        <v>19</v>
      </c>
      <c r="V38" s="123" t="s">
        <v>22</v>
      </c>
      <c r="W38" s="123" t="s">
        <v>119</v>
      </c>
      <c r="X38" s="125">
        <f>IFERROR(IF(Q38="Probabilidad",(I38-(+I38*T38)),IF(Q38="Impacto",I38,"")),"")</f>
        <v>0.6</v>
      </c>
      <c r="Y38" s="126" t="str">
        <f>IFERROR(IF(X38="","",IF(X38&lt;=0.2,"Muy Baja",IF(X38&lt;=0.4,"Baja",IF(X38&lt;=0.6,"Media",IF(X38&lt;=0.8,"Alta","Muy Alta"))))),"")</f>
        <v>Media</v>
      </c>
      <c r="Z38" s="127">
        <f t="shared" ref="Z38:Z61" si="8">+X38</f>
        <v>0.6</v>
      </c>
      <c r="AA38" s="126" t="str">
        <f>IFERROR(IF(AB38="","",IF(AB38&lt;=0.2,"Leve",IF(AB38&lt;=0.4,"Menor",IF(AB38&lt;=0.6,"Moderado",IF(AB38&lt;=0.8,"Mayor","Catastrófico"))))),"")</f>
        <v/>
      </c>
      <c r="AB38" s="127" t="str">
        <f>IFERROR(IF(Q38="Impacto",(M38-(+M38*T38)),IF(Q38="Probabilidad",M38,"")),"")</f>
        <v/>
      </c>
      <c r="AC38" s="128" t="str">
        <f t="shared" ref="AC38:AC61" si="9">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29"/>
      <c r="AE38" s="130" t="s">
        <v>238</v>
      </c>
      <c r="AF38" s="131" t="s">
        <v>239</v>
      </c>
      <c r="AG38" s="132" t="s">
        <v>240</v>
      </c>
      <c r="AH38" s="132" t="s">
        <v>240</v>
      </c>
      <c r="AI38" s="130" t="s">
        <v>240</v>
      </c>
      <c r="AJ38" s="131" t="s">
        <v>41</v>
      </c>
      <c r="AK38" s="153"/>
      <c r="AL38" s="154"/>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30.75" hidden="1" customHeight="1" x14ac:dyDescent="0.3">
      <c r="A39" s="206"/>
      <c r="B39" s="209"/>
      <c r="C39" s="209"/>
      <c r="D39" s="209"/>
      <c r="E39" s="212"/>
      <c r="F39" s="209"/>
      <c r="G39" s="215"/>
      <c r="H39" s="218"/>
      <c r="I39" s="197"/>
      <c r="J39" s="221"/>
      <c r="K39" s="197">
        <f>IF(NOT(ISERROR(MATCH(J39,_xlfn.ANCHORARRAY(E50),0))),I52&amp;"Por favor no seleccionar los criterios de impacto",J39)</f>
        <v>0</v>
      </c>
      <c r="L39" s="218"/>
      <c r="M39" s="197"/>
      <c r="N39" s="203"/>
      <c r="O39" s="120">
        <v>2</v>
      </c>
      <c r="P39" s="121"/>
      <c r="Q39" s="122" t="str">
        <f t="shared" si="6"/>
        <v/>
      </c>
      <c r="R39" s="123"/>
      <c r="S39" s="123"/>
      <c r="T39" s="124" t="str">
        <f t="shared" si="7"/>
        <v/>
      </c>
      <c r="U39" s="123"/>
      <c r="V39" s="123"/>
      <c r="W39" s="123"/>
      <c r="X39" s="125" t="str">
        <f>IFERROR(IF(AND(Q38="Probabilidad",Q39="Probabilidad"),(Z38-(+Z38*T39)),IF(Q39="Probabilidad",(I38-(+I38*T39)),IF(Q39="Impacto",Z38,""))),"")</f>
        <v/>
      </c>
      <c r="Y39" s="126" t="str">
        <f t="shared" si="4"/>
        <v/>
      </c>
      <c r="Z39" s="127" t="str">
        <f t="shared" si="8"/>
        <v/>
      </c>
      <c r="AA39" s="126" t="str">
        <f t="shared" si="5"/>
        <v/>
      </c>
      <c r="AB39" s="127" t="str">
        <f>IFERROR(IF(AND(Q38="Impacto",Q39="Impacto"),(AB38-(+AB38*T39)),IF(Q39="Impacto",(M38-(+M38*T39)),IF(Q39="Probabilidad",AB38,""))),"")</f>
        <v/>
      </c>
      <c r="AC39" s="128" t="str">
        <f t="shared" si="9"/>
        <v/>
      </c>
      <c r="AD39" s="129"/>
      <c r="AE39" s="130"/>
      <c r="AF39" s="131"/>
      <c r="AG39" s="132"/>
      <c r="AH39" s="132"/>
      <c r="AI39" s="130"/>
      <c r="AJ39" s="131"/>
      <c r="AK39" s="156"/>
      <c r="AL39" s="156"/>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30.75" hidden="1" customHeight="1" x14ac:dyDescent="0.3">
      <c r="A40" s="206"/>
      <c r="B40" s="209"/>
      <c r="C40" s="209"/>
      <c r="D40" s="209"/>
      <c r="E40" s="212"/>
      <c r="F40" s="209"/>
      <c r="G40" s="215"/>
      <c r="H40" s="218"/>
      <c r="I40" s="197"/>
      <c r="J40" s="221"/>
      <c r="K40" s="197">
        <f>IF(NOT(ISERROR(MATCH(J40,_xlfn.ANCHORARRAY(E51),0))),I53&amp;"Por favor no seleccionar los criterios de impacto",J40)</f>
        <v>0</v>
      </c>
      <c r="L40" s="218"/>
      <c r="M40" s="197"/>
      <c r="N40" s="203"/>
      <c r="O40" s="120">
        <v>3</v>
      </c>
      <c r="P40" s="133"/>
      <c r="Q40" s="122" t="str">
        <f t="shared" si="6"/>
        <v/>
      </c>
      <c r="R40" s="123"/>
      <c r="S40" s="123"/>
      <c r="T40" s="124" t="str">
        <f t="shared" si="7"/>
        <v/>
      </c>
      <c r="U40" s="123"/>
      <c r="V40" s="123"/>
      <c r="W40" s="123"/>
      <c r="X40" s="125" t="str">
        <f>IFERROR(IF(AND(Q39="Probabilidad",Q40="Probabilidad"),(Z39-(+Z39*T40)),IF(AND(Q39="Impacto",Q40="Probabilidad"),(Z38-(+Z38*T40)),IF(Q40="Impacto",Z39,""))),"")</f>
        <v/>
      </c>
      <c r="Y40" s="126" t="str">
        <f t="shared" si="4"/>
        <v/>
      </c>
      <c r="Z40" s="127" t="str">
        <f t="shared" si="8"/>
        <v/>
      </c>
      <c r="AA40" s="126" t="str">
        <f t="shared" si="5"/>
        <v/>
      </c>
      <c r="AB40" s="127" t="str">
        <f>IFERROR(IF(AND(Q39="Impacto",Q40="Impacto"),(AB39-(+AB39*T40)),IF(AND(Q39="Probabilidad",Q40="Impacto"),(AB38-(+AB38*T40)),IF(Q40="Probabilidad",AB39,""))),"")</f>
        <v/>
      </c>
      <c r="AC40" s="128" t="str">
        <f t="shared" si="9"/>
        <v/>
      </c>
      <c r="AD40" s="129"/>
      <c r="AE40" s="130"/>
      <c r="AF40" s="131"/>
      <c r="AG40" s="132"/>
      <c r="AH40" s="132"/>
      <c r="AI40" s="130"/>
      <c r="AJ40" s="131"/>
      <c r="AK40" s="155"/>
      <c r="AL40" s="155"/>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23.25" hidden="1" customHeight="1" x14ac:dyDescent="0.3">
      <c r="A41" s="206"/>
      <c r="B41" s="209"/>
      <c r="C41" s="209"/>
      <c r="D41" s="209"/>
      <c r="E41" s="212"/>
      <c r="F41" s="209"/>
      <c r="G41" s="215"/>
      <c r="H41" s="218"/>
      <c r="I41" s="197"/>
      <c r="J41" s="221"/>
      <c r="K41" s="197">
        <f>IF(NOT(ISERROR(MATCH(J41,_xlfn.ANCHORARRAY(E52),0))),I54&amp;"Por favor no seleccionar los criterios de impacto",J41)</f>
        <v>0</v>
      </c>
      <c r="L41" s="218"/>
      <c r="M41" s="197"/>
      <c r="N41" s="203"/>
      <c r="O41" s="120">
        <v>4</v>
      </c>
      <c r="P41" s="121"/>
      <c r="Q41" s="122" t="str">
        <f t="shared" si="6"/>
        <v/>
      </c>
      <c r="R41" s="123"/>
      <c r="S41" s="123"/>
      <c r="T41" s="124" t="str">
        <f t="shared" si="7"/>
        <v/>
      </c>
      <c r="U41" s="123"/>
      <c r="V41" s="123"/>
      <c r="W41" s="123"/>
      <c r="X41" s="125" t="str">
        <f>IFERROR(IF(AND(Q40="Probabilidad",Q41="Probabilidad"),(Z40-(+Z40*T41)),IF(AND(Q40="Impacto",Q41="Probabilidad"),(Z39-(+Z39*T41)),IF(Q41="Impacto",Z40,""))),"")</f>
        <v/>
      </c>
      <c r="Y41" s="126" t="str">
        <f t="shared" si="4"/>
        <v/>
      </c>
      <c r="Z41" s="127" t="str">
        <f t="shared" si="8"/>
        <v/>
      </c>
      <c r="AA41" s="126" t="str">
        <f t="shared" si="5"/>
        <v/>
      </c>
      <c r="AB41" s="127" t="str">
        <f>IFERROR(IF(AND(Q40="Impacto",Q41="Impacto"),(AB40-(+AB40*T41)),IF(AND(Q40="Probabilidad",Q41="Impacto"),(AB39-(+AB39*T41)),IF(Q41="Probabilidad",AB40,""))),"")</f>
        <v/>
      </c>
      <c r="AC41" s="128" t="str">
        <f t="shared" si="9"/>
        <v/>
      </c>
      <c r="AD41" s="129"/>
      <c r="AE41" s="130"/>
      <c r="AF41" s="131"/>
      <c r="AG41" s="132"/>
      <c r="AH41" s="132"/>
      <c r="AI41" s="130"/>
      <c r="AJ41" s="131"/>
      <c r="AK41" s="155"/>
      <c r="AL41" s="156"/>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30" hidden="1" customHeight="1" x14ac:dyDescent="0.3">
      <c r="A42" s="206"/>
      <c r="B42" s="209"/>
      <c r="C42" s="209"/>
      <c r="D42" s="209"/>
      <c r="E42" s="212"/>
      <c r="F42" s="209"/>
      <c r="G42" s="215"/>
      <c r="H42" s="218"/>
      <c r="I42" s="197"/>
      <c r="J42" s="221"/>
      <c r="K42" s="197">
        <f>IF(NOT(ISERROR(MATCH(J42,_xlfn.ANCHORARRAY(E53),0))),I55&amp;"Por favor no seleccionar los criterios de impacto",J42)</f>
        <v>0</v>
      </c>
      <c r="L42" s="218"/>
      <c r="M42" s="197"/>
      <c r="N42" s="203"/>
      <c r="O42" s="120">
        <v>5</v>
      </c>
      <c r="P42" s="121"/>
      <c r="Q42" s="122" t="str">
        <f t="shared" si="6"/>
        <v/>
      </c>
      <c r="R42" s="123"/>
      <c r="S42" s="123"/>
      <c r="T42" s="124" t="str">
        <f t="shared" si="7"/>
        <v/>
      </c>
      <c r="U42" s="123"/>
      <c r="V42" s="123"/>
      <c r="W42" s="123"/>
      <c r="X42" s="125" t="str">
        <f>IFERROR(IF(AND(Q41="Probabilidad",Q42="Probabilidad"),(Z41-(+Z41*T42)),IF(AND(Q41="Impacto",Q42="Probabilidad"),(Z40-(+Z40*T42)),IF(Q42="Impacto",Z41,""))),"")</f>
        <v/>
      </c>
      <c r="Y42" s="126" t="str">
        <f t="shared" si="4"/>
        <v/>
      </c>
      <c r="Z42" s="127" t="str">
        <f t="shared" si="8"/>
        <v/>
      </c>
      <c r="AA42" s="126" t="str">
        <f t="shared" si="5"/>
        <v/>
      </c>
      <c r="AB42" s="127" t="str">
        <f>IFERROR(IF(AND(Q41="Impacto",Q42="Impacto"),(AB41-(+AB41*T42)),IF(AND(Q41="Probabilidad",Q42="Impacto"),(AB40-(+AB40*T42)),IF(Q42="Probabilidad",AB41,""))),"")</f>
        <v/>
      </c>
      <c r="AC42" s="128" t="str">
        <f t="shared" si="9"/>
        <v/>
      </c>
      <c r="AD42" s="129"/>
      <c r="AE42" s="130"/>
      <c r="AF42" s="131"/>
      <c r="AG42" s="132"/>
      <c r="AH42" s="132"/>
      <c r="AI42" s="130"/>
      <c r="AJ42" s="131"/>
      <c r="AK42" s="153"/>
      <c r="AL42" s="154"/>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28.5" hidden="1" customHeight="1" x14ac:dyDescent="0.3">
      <c r="A43" s="207"/>
      <c r="B43" s="210"/>
      <c r="C43" s="210"/>
      <c r="D43" s="210"/>
      <c r="E43" s="213"/>
      <c r="F43" s="210"/>
      <c r="G43" s="216"/>
      <c r="H43" s="219"/>
      <c r="I43" s="198"/>
      <c r="J43" s="222"/>
      <c r="K43" s="198">
        <f>IF(NOT(ISERROR(MATCH(J43,_xlfn.ANCHORARRAY(E54),0))),I56&amp;"Por favor no seleccionar los criterios de impacto",J43)</f>
        <v>0</v>
      </c>
      <c r="L43" s="219"/>
      <c r="M43" s="198"/>
      <c r="N43" s="204"/>
      <c r="O43" s="120">
        <v>6</v>
      </c>
      <c r="P43" s="121"/>
      <c r="Q43" s="122" t="str">
        <f t="shared" si="6"/>
        <v/>
      </c>
      <c r="R43" s="123"/>
      <c r="S43" s="123"/>
      <c r="T43" s="124" t="str">
        <f t="shared" si="7"/>
        <v/>
      </c>
      <c r="U43" s="123"/>
      <c r="V43" s="123"/>
      <c r="W43" s="123"/>
      <c r="X43" s="125" t="str">
        <f>IFERROR(IF(AND(Q42="Probabilidad",Q43="Probabilidad"),(Z42-(+Z42*T43)),IF(AND(Q42="Impacto",Q43="Probabilidad"),(Z41-(+Z41*T43)),IF(Q43="Impacto",Z42,""))),"")</f>
        <v/>
      </c>
      <c r="Y43" s="126" t="str">
        <f t="shared" si="4"/>
        <v/>
      </c>
      <c r="Z43" s="127" t="str">
        <f t="shared" si="8"/>
        <v/>
      </c>
      <c r="AA43" s="126" t="str">
        <f t="shared" si="5"/>
        <v/>
      </c>
      <c r="AB43" s="127" t="str">
        <f>IFERROR(IF(AND(Q42="Impacto",Q43="Impacto"),(AB42-(+AB42*T43)),IF(AND(Q42="Probabilidad",Q43="Impacto"),(AB41-(+AB41*T43)),IF(Q43="Probabilidad",AB42,""))),"")</f>
        <v/>
      </c>
      <c r="AC43" s="128" t="str">
        <f t="shared" si="9"/>
        <v/>
      </c>
      <c r="AD43" s="129"/>
      <c r="AE43" s="130"/>
      <c r="AF43" s="131"/>
      <c r="AG43" s="132"/>
      <c r="AH43" s="132"/>
      <c r="AI43" s="130"/>
      <c r="AJ43" s="131"/>
      <c r="AK43" s="153"/>
      <c r="AL43" s="154"/>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48" customHeight="1" x14ac:dyDescent="0.3">
      <c r="A44" s="205">
        <v>6</v>
      </c>
      <c r="B44" s="208" t="s">
        <v>134</v>
      </c>
      <c r="C44" s="208" t="s">
        <v>218</v>
      </c>
      <c r="D44" s="208" t="s">
        <v>258</v>
      </c>
      <c r="E44" s="211" t="s">
        <v>257</v>
      </c>
      <c r="F44" s="208" t="s">
        <v>123</v>
      </c>
      <c r="G44" s="214">
        <v>10</v>
      </c>
      <c r="H44" s="217" t="str">
        <f>IF(G44&lt;=0,"",IF(G44&lt;=2,"Muy Baja",IF(G44&lt;=24,"Baja",IF(G44&lt;=500,"Media",IF(G44&lt;=5000,"Alta","Muy Alta")))))</f>
        <v>Baja</v>
      </c>
      <c r="I44" s="196">
        <f>IF(H44="","",IF(H44="Muy Baja",0.2,IF(H44="Baja",0.4,IF(H44="Media",0.6,IF(H44="Alta",0.8,IF(H44="Muy Alta",1,))))))</f>
        <v>0.4</v>
      </c>
      <c r="J44" s="220" t="s">
        <v>151</v>
      </c>
      <c r="K44" s="196" t="str">
        <f>IF(NOT(ISERROR(MATCH(J44,'Tabla Impacto'!$B$221:$B$223,0))),'Tabla Impacto'!$F$223&amp;"Por favor no seleccionar los criterios de impacto(Afectación Económica o presupuestal y Pérdida Reputacional)",J44)</f>
        <v xml:space="preserve">     Entre 100 y 500 SMLMV </v>
      </c>
      <c r="L44" s="217" t="str">
        <f>IF(OR(K44='Tabla Impacto'!$C$11,K44='Tabla Impacto'!$D$11),"Leve",IF(OR(K44='Tabla Impacto'!$C$12,K44='Tabla Impacto'!$D$12),"Menor",IF(OR(K44='Tabla Impacto'!$C$13,K44='Tabla Impacto'!$D$13),"Moderado",IF(OR(K44='Tabla Impacto'!$C$14,K44='Tabla Impacto'!$D$14),"Mayor",IF(OR(K44='Tabla Impacto'!$C$15,K44='Tabla Impacto'!$D$15),"Catastrófico","")))))</f>
        <v>Mayor</v>
      </c>
      <c r="M44" s="196">
        <f>IF(L44="","",IF(L44="Leve",0.2,IF(L44="Menor",0.4,IF(L44="Moderado",0.6,IF(L44="Mayor",0.8,IF(L44="Catastrófico",1,))))))</f>
        <v>0.8</v>
      </c>
      <c r="N44" s="202"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Alto</v>
      </c>
      <c r="O44" s="120">
        <v>1</v>
      </c>
      <c r="P44" s="121" t="s">
        <v>260</v>
      </c>
      <c r="Q44" s="122" t="str">
        <f t="shared" si="6"/>
        <v>Probabilidad</v>
      </c>
      <c r="R44" s="123" t="s">
        <v>14</v>
      </c>
      <c r="S44" s="123" t="s">
        <v>9</v>
      </c>
      <c r="T44" s="124" t="str">
        <f t="shared" si="7"/>
        <v>40%</v>
      </c>
      <c r="U44" s="123" t="s">
        <v>19</v>
      </c>
      <c r="V44" s="123" t="s">
        <v>22</v>
      </c>
      <c r="W44" s="123" t="s">
        <v>119</v>
      </c>
      <c r="X44" s="125">
        <f>IFERROR(IF(Q44="Probabilidad",(I44-(+I44*T44)),IF(Q44="Impacto",I44,"")),"")</f>
        <v>0.24</v>
      </c>
      <c r="Y44" s="126" t="str">
        <f>IFERROR(IF(X44="","",IF(X44&lt;=0.2,"Muy Baja",IF(X44&lt;=0.4,"Baja",IF(X44&lt;=0.6,"Media",IF(X44&lt;=0.8,"Alta","Muy Alta"))))),"")</f>
        <v>Baja</v>
      </c>
      <c r="Z44" s="127">
        <f t="shared" si="8"/>
        <v>0.24</v>
      </c>
      <c r="AA44" s="126" t="str">
        <f>IFERROR(IF(AB44="","",IF(AB44&lt;=0.2,"Leve",IF(AB44&lt;=0.4,"Menor",IF(AB44&lt;=0.6,"Moderado",IF(AB44&lt;=0.8,"Mayor","Catastrófico"))))),"")</f>
        <v>Mayor</v>
      </c>
      <c r="AB44" s="127">
        <f>IFERROR(IF(Q44="Impacto",(M44-(+M44*T44)),IF(Q44="Probabilidad",M44,"")),"")</f>
        <v>0.8</v>
      </c>
      <c r="AC44" s="128" t="str">
        <f t="shared" si="9"/>
        <v>Alto</v>
      </c>
      <c r="AD44" s="129"/>
      <c r="AE44" s="130" t="s">
        <v>259</v>
      </c>
      <c r="AF44" s="131" t="s">
        <v>262</v>
      </c>
      <c r="AG44" s="132" t="s">
        <v>240</v>
      </c>
      <c r="AH44" s="132" t="s">
        <v>240</v>
      </c>
      <c r="AI44" s="132" t="s">
        <v>240</v>
      </c>
      <c r="AJ44" s="131" t="s">
        <v>41</v>
      </c>
      <c r="AK44" s="153"/>
      <c r="AL44" s="154"/>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59.25" customHeight="1" x14ac:dyDescent="0.3">
      <c r="A45" s="206"/>
      <c r="B45" s="209"/>
      <c r="C45" s="209"/>
      <c r="D45" s="209"/>
      <c r="E45" s="212"/>
      <c r="F45" s="209"/>
      <c r="G45" s="215"/>
      <c r="H45" s="218"/>
      <c r="I45" s="197"/>
      <c r="J45" s="221"/>
      <c r="K45" s="197">
        <f>IF(NOT(ISERROR(MATCH(J45,_xlfn.ANCHORARRAY(E56),0))),I58&amp;"Por favor no seleccionar los criterios de impacto",J45)</f>
        <v>0</v>
      </c>
      <c r="L45" s="218"/>
      <c r="M45" s="197"/>
      <c r="N45" s="203"/>
      <c r="O45" s="120">
        <v>2</v>
      </c>
      <c r="P45" s="121" t="s">
        <v>261</v>
      </c>
      <c r="Q45" s="122" t="str">
        <f t="shared" ref="Q45" si="10">IF(OR(R45="Preventivo",R45="Detectivo"),"Probabilidad",IF(R45="Correctivo","Impacto",""))</f>
        <v>Probabilidad</v>
      </c>
      <c r="R45" s="123" t="s">
        <v>14</v>
      </c>
      <c r="S45" s="123" t="s">
        <v>9</v>
      </c>
      <c r="T45" s="124" t="str">
        <f t="shared" ref="T45" si="11">IF(AND(R45="Preventivo",S45="Automático"),"50%",IF(AND(R45="Preventivo",S45="Manual"),"40%",IF(AND(R45="Detectivo",S45="Automático"),"40%",IF(AND(R45="Detectivo",S45="Manual"),"30%",IF(AND(R45="Correctivo",S45="Automático"),"35%",IF(AND(R45="Correctivo",S45="Manual"),"25%",""))))))</f>
        <v>40%</v>
      </c>
      <c r="U45" s="123" t="s">
        <v>19</v>
      </c>
      <c r="V45" s="123" t="s">
        <v>22</v>
      </c>
      <c r="W45" s="123" t="s">
        <v>119</v>
      </c>
      <c r="X45" s="125">
        <f>IFERROR(IF(Q45="Probabilidad",(I45-(+I45*T45)),IF(Q45="Impacto",I45,"")),"")</f>
        <v>0</v>
      </c>
      <c r="Y45" s="126" t="str">
        <f>IFERROR(IF(X45="","",IF(X45&lt;=0.2,"Muy Baja",IF(X45&lt;=0.4,"Baja",IF(X45&lt;=0.6,"Media",IF(X45&lt;=0.8,"Alta","Muy Alta"))))),"")</f>
        <v>Muy Baja</v>
      </c>
      <c r="Z45" s="127">
        <f t="shared" ref="Z45" si="12">+X45</f>
        <v>0</v>
      </c>
      <c r="AA45" s="126" t="str">
        <f>IFERROR(IF(AB45="","",IF(AB45&lt;=0.2,"Leve",IF(AB45&lt;=0.4,"Menor",IF(AB45&lt;=0.6,"Moderado",IF(AB45&lt;=0.8,"Mayor","Catastrófico"))))),"")</f>
        <v>Leve</v>
      </c>
      <c r="AB45" s="127">
        <f>IFERROR(IF(Q45="Impacto",(M45-(+M45*T45)),IF(Q45="Probabilidad",M45,"")),"")</f>
        <v>0</v>
      </c>
      <c r="AC45" s="128" t="str">
        <f t="shared" ref="AC45" si="13">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Bajo</v>
      </c>
      <c r="AD45" s="129"/>
      <c r="AE45" s="130" t="s">
        <v>259</v>
      </c>
      <c r="AF45" s="131" t="s">
        <v>271</v>
      </c>
      <c r="AG45" s="132" t="s">
        <v>240</v>
      </c>
      <c r="AH45" s="132" t="s">
        <v>240</v>
      </c>
      <c r="AI45" s="132" t="s">
        <v>240</v>
      </c>
      <c r="AJ45" s="131" t="s">
        <v>41</v>
      </c>
      <c r="AK45" s="156"/>
      <c r="AL45" s="156"/>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37.5" hidden="1" customHeight="1" x14ac:dyDescent="0.3">
      <c r="A46" s="206"/>
      <c r="B46" s="209"/>
      <c r="C46" s="209"/>
      <c r="D46" s="209"/>
      <c r="E46" s="212"/>
      <c r="F46" s="209"/>
      <c r="G46" s="215"/>
      <c r="H46" s="218"/>
      <c r="I46" s="197"/>
      <c r="J46" s="221"/>
      <c r="K46" s="197">
        <f>IF(NOT(ISERROR(MATCH(J46,_xlfn.ANCHORARRAY(E57),0))),I59&amp;"Por favor no seleccionar los criterios de impacto",J46)</f>
        <v>0</v>
      </c>
      <c r="L46" s="218"/>
      <c r="M46" s="197"/>
      <c r="N46" s="203"/>
      <c r="O46" s="120">
        <v>3</v>
      </c>
      <c r="P46" s="133"/>
      <c r="Q46" s="122" t="str">
        <f t="shared" si="6"/>
        <v/>
      </c>
      <c r="R46" s="123"/>
      <c r="S46" s="123"/>
      <c r="T46" s="124" t="str">
        <f t="shared" si="7"/>
        <v/>
      </c>
      <c r="U46" s="123"/>
      <c r="V46" s="123"/>
      <c r="W46" s="123"/>
      <c r="X46" s="125" t="str">
        <f>IFERROR(IF(AND(Q45="Probabilidad",Q46="Probabilidad"),(Z45-(+Z45*T46)),IF(AND(Q45="Impacto",Q46="Probabilidad"),(Z44-(+Z44*T46)),IF(Q46="Impacto",Z45,""))),"")</f>
        <v/>
      </c>
      <c r="Y46" s="126" t="str">
        <f t="shared" si="4"/>
        <v/>
      </c>
      <c r="Z46" s="127" t="str">
        <f t="shared" si="8"/>
        <v/>
      </c>
      <c r="AA46" s="126" t="str">
        <f t="shared" si="5"/>
        <v/>
      </c>
      <c r="AB46" s="127" t="str">
        <f>IFERROR(IF(AND(Q45="Impacto",Q46="Impacto"),(AB45-(+AB45*T46)),IF(AND(Q45="Probabilidad",Q46="Impacto"),(AB44-(+AB44*T46)),IF(Q46="Probabilidad",AB45,""))),"")</f>
        <v/>
      </c>
      <c r="AC46" s="128" t="str">
        <f t="shared" si="9"/>
        <v/>
      </c>
      <c r="AD46" s="129"/>
      <c r="AE46" s="130"/>
      <c r="AF46" s="131"/>
      <c r="AG46" s="132"/>
      <c r="AH46" s="132"/>
      <c r="AI46" s="130"/>
      <c r="AJ46" s="131"/>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8.75" hidden="1" customHeight="1" x14ac:dyDescent="0.3">
      <c r="A47" s="206"/>
      <c r="B47" s="209"/>
      <c r="C47" s="209"/>
      <c r="D47" s="209"/>
      <c r="E47" s="212"/>
      <c r="F47" s="209"/>
      <c r="G47" s="215"/>
      <c r="H47" s="218"/>
      <c r="I47" s="197"/>
      <c r="J47" s="221"/>
      <c r="K47" s="197">
        <f>IF(NOT(ISERROR(MATCH(J47,_xlfn.ANCHORARRAY(E58),0))),I60&amp;"Por favor no seleccionar los criterios de impacto",J47)</f>
        <v>0</v>
      </c>
      <c r="L47" s="218"/>
      <c r="M47" s="197"/>
      <c r="N47" s="203"/>
      <c r="O47" s="120">
        <v>4</v>
      </c>
      <c r="P47" s="121"/>
      <c r="Q47" s="122" t="str">
        <f t="shared" si="6"/>
        <v/>
      </c>
      <c r="R47" s="123"/>
      <c r="S47" s="123"/>
      <c r="T47" s="124" t="str">
        <f t="shared" si="7"/>
        <v/>
      </c>
      <c r="U47" s="123"/>
      <c r="V47" s="123"/>
      <c r="W47" s="123"/>
      <c r="X47" s="125" t="str">
        <f>IFERROR(IF(AND(Q46="Probabilidad",Q47="Probabilidad"),(Z46-(+Z46*T47)),IF(AND(Q46="Impacto",Q47="Probabilidad"),(Z45-(+Z45*T47)),IF(Q47="Impacto",Z46,""))),"")</f>
        <v/>
      </c>
      <c r="Y47" s="126" t="str">
        <f t="shared" si="4"/>
        <v/>
      </c>
      <c r="Z47" s="127" t="str">
        <f t="shared" si="8"/>
        <v/>
      </c>
      <c r="AA47" s="126" t="str">
        <f t="shared" si="5"/>
        <v/>
      </c>
      <c r="AB47" s="127" t="str">
        <f>IFERROR(IF(AND(Q46="Impacto",Q47="Impacto"),(AB46-(+AB46*T47)),IF(AND(Q46="Probabilidad",Q47="Impacto"),(AB45-(+AB45*T47)),IF(Q47="Probabilidad",AB46,""))),"")</f>
        <v/>
      </c>
      <c r="AC47" s="128" t="str">
        <f t="shared" si="9"/>
        <v/>
      </c>
      <c r="AD47" s="129"/>
      <c r="AE47" s="130"/>
      <c r="AF47" s="131"/>
      <c r="AG47" s="132"/>
      <c r="AH47" s="132"/>
      <c r="AI47" s="130"/>
      <c r="AJ47" s="131"/>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2.25" hidden="1" customHeight="1" x14ac:dyDescent="0.3">
      <c r="A48" s="206"/>
      <c r="B48" s="209"/>
      <c r="C48" s="209"/>
      <c r="D48" s="209"/>
      <c r="E48" s="212"/>
      <c r="F48" s="209"/>
      <c r="G48" s="215"/>
      <c r="H48" s="218"/>
      <c r="I48" s="197"/>
      <c r="J48" s="221"/>
      <c r="K48" s="197">
        <f>IF(NOT(ISERROR(MATCH(J48,_xlfn.ANCHORARRAY(E59),0))),I61&amp;"Por favor no seleccionar los criterios de impacto",J48)</f>
        <v>0</v>
      </c>
      <c r="L48" s="218"/>
      <c r="M48" s="197"/>
      <c r="N48" s="203"/>
      <c r="O48" s="120">
        <v>5</v>
      </c>
      <c r="P48" s="121"/>
      <c r="Q48" s="122" t="str">
        <f t="shared" si="6"/>
        <v/>
      </c>
      <c r="R48" s="123"/>
      <c r="S48" s="123"/>
      <c r="T48" s="124" t="str">
        <f t="shared" si="7"/>
        <v/>
      </c>
      <c r="U48" s="123"/>
      <c r="V48" s="123"/>
      <c r="W48" s="123"/>
      <c r="X48" s="125" t="str">
        <f>IFERROR(IF(AND(Q47="Probabilidad",Q48="Probabilidad"),(Z47-(+Z47*T48)),IF(AND(Q47="Impacto",Q48="Probabilidad"),(Z46-(+Z46*T48)),IF(Q48="Impacto",Z47,""))),"")</f>
        <v/>
      </c>
      <c r="Y48" s="126" t="str">
        <f t="shared" si="4"/>
        <v/>
      </c>
      <c r="Z48" s="127" t="str">
        <f t="shared" si="8"/>
        <v/>
      </c>
      <c r="AA48" s="126" t="str">
        <f t="shared" si="5"/>
        <v/>
      </c>
      <c r="AB48" s="127" t="str">
        <f>IFERROR(IF(AND(Q47="Impacto",Q48="Impacto"),(AB47-(+AB47*T48)),IF(AND(Q47="Probabilidad",Q48="Impacto"),(AB46-(+AB46*T48)),IF(Q48="Probabilidad",AB47,""))),"")</f>
        <v/>
      </c>
      <c r="AC48" s="128" t="str">
        <f t="shared" si="9"/>
        <v/>
      </c>
      <c r="AD48" s="129"/>
      <c r="AE48" s="130"/>
      <c r="AF48" s="131"/>
      <c r="AG48" s="132"/>
      <c r="AH48" s="132"/>
      <c r="AI48" s="130"/>
      <c r="AJ48" s="131"/>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1.25" hidden="1" customHeight="1" x14ac:dyDescent="0.3">
      <c r="A49" s="207"/>
      <c r="B49" s="210"/>
      <c r="C49" s="210"/>
      <c r="D49" s="210"/>
      <c r="E49" s="213"/>
      <c r="F49" s="210"/>
      <c r="G49" s="216"/>
      <c r="H49" s="219"/>
      <c r="I49" s="198"/>
      <c r="J49" s="222"/>
      <c r="K49" s="198">
        <f>IF(NOT(ISERROR(MATCH(J49,_xlfn.ANCHORARRAY(E60),0))),I62&amp;"Por favor no seleccionar los criterios de impacto",J49)</f>
        <v>0</v>
      </c>
      <c r="L49" s="219"/>
      <c r="M49" s="198"/>
      <c r="N49" s="204"/>
      <c r="O49" s="120">
        <v>6</v>
      </c>
      <c r="P49" s="121"/>
      <c r="Q49" s="122" t="str">
        <f t="shared" si="6"/>
        <v/>
      </c>
      <c r="R49" s="123"/>
      <c r="S49" s="123"/>
      <c r="T49" s="124" t="str">
        <f t="shared" si="7"/>
        <v/>
      </c>
      <c r="U49" s="123"/>
      <c r="V49" s="123"/>
      <c r="W49" s="123"/>
      <c r="X49" s="125" t="str">
        <f>IFERROR(IF(AND(Q48="Probabilidad",Q49="Probabilidad"),(Z48-(+Z48*T49)),IF(AND(Q48="Impacto",Q49="Probabilidad"),(Z47-(+Z47*T49)),IF(Q49="Impacto",Z48,""))),"")</f>
        <v/>
      </c>
      <c r="Y49" s="126" t="str">
        <f t="shared" si="4"/>
        <v/>
      </c>
      <c r="Z49" s="127" t="str">
        <f t="shared" si="8"/>
        <v/>
      </c>
      <c r="AA49" s="126" t="str">
        <f t="shared" si="5"/>
        <v/>
      </c>
      <c r="AB49" s="127" t="str">
        <f>IFERROR(IF(AND(Q48="Impacto",Q49="Impacto"),(AB48-(+AB48*T49)),IF(AND(Q48="Probabilidad",Q49="Impacto"),(AB47-(+AB47*T49)),IF(Q49="Probabilidad",AB48,""))),"")</f>
        <v/>
      </c>
      <c r="AC49" s="128" t="str">
        <f t="shared" si="9"/>
        <v/>
      </c>
      <c r="AD49" s="129"/>
      <c r="AE49" s="130"/>
      <c r="AF49" s="131"/>
      <c r="AG49" s="132"/>
      <c r="AH49" s="132"/>
      <c r="AI49" s="130"/>
      <c r="AJ49" s="131"/>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205">
        <v>9</v>
      </c>
      <c r="B50" s="208"/>
      <c r="C50" s="208"/>
      <c r="D50" s="208"/>
      <c r="E50" s="211"/>
      <c r="F50" s="208"/>
      <c r="G50" s="214"/>
      <c r="H50" s="217" t="str">
        <f>IF(G50&lt;=0,"",IF(G50&lt;=2,"Muy Baja",IF(G50&lt;=24,"Baja",IF(G50&lt;=500,"Media",IF(G50&lt;=5000,"Alta","Muy Alta")))))</f>
        <v/>
      </c>
      <c r="I50" s="196" t="str">
        <f>IF(H50="","",IF(H50="Muy Baja",0.2,IF(H50="Baja",0.4,IF(H50="Media",0.6,IF(H50="Alta",0.8,IF(H50="Muy Alta",1,))))))</f>
        <v/>
      </c>
      <c r="J50" s="220"/>
      <c r="K50" s="196">
        <f>IF(NOT(ISERROR(MATCH(J50,'Tabla Impacto'!$B$221:$B$223,0))),'Tabla Impacto'!$F$223&amp;"Por favor no seleccionar los criterios de impacto(Afectación Económica o presupuestal y Pérdida Reputacional)",J50)</f>
        <v>0</v>
      </c>
      <c r="L50" s="217" t="str">
        <f>IF(OR(K50='Tabla Impacto'!$C$11,K50='Tabla Impacto'!$D$11),"Leve",IF(OR(K50='Tabla Impacto'!$C$12,K50='Tabla Impacto'!$D$12),"Menor",IF(OR(K50='Tabla Impacto'!$C$13,K50='Tabla Impacto'!$D$13),"Moderado",IF(OR(K50='Tabla Impacto'!$C$14,K50='Tabla Impacto'!$D$14),"Mayor",IF(OR(K50='Tabla Impacto'!$C$15,K50='Tabla Impacto'!$D$15),"Catastrófico","")))))</f>
        <v/>
      </c>
      <c r="M50" s="196" t="str">
        <f>IF(L50="","",IF(L50="Leve",0.2,IF(L50="Menor",0.4,IF(L50="Moderado",0.6,IF(L50="Mayor",0.8,IF(L50="Catastrófico",1,))))))</f>
        <v/>
      </c>
      <c r="N50" s="202"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20">
        <v>1</v>
      </c>
      <c r="P50" s="121"/>
      <c r="Q50" s="122" t="str">
        <f t="shared" si="6"/>
        <v/>
      </c>
      <c r="R50" s="123"/>
      <c r="S50" s="123"/>
      <c r="T50" s="124" t="str">
        <f t="shared" si="7"/>
        <v/>
      </c>
      <c r="U50" s="123"/>
      <c r="V50" s="123"/>
      <c r="W50" s="123"/>
      <c r="X50" s="125" t="str">
        <f>IFERROR(IF(Q50="Probabilidad",(I50-(+I50*T50)),IF(Q50="Impacto",I50,"")),"")</f>
        <v/>
      </c>
      <c r="Y50" s="126" t="str">
        <f>IFERROR(IF(X50="","",IF(X50&lt;=0.2,"Muy Baja",IF(X50&lt;=0.4,"Baja",IF(X50&lt;=0.6,"Media",IF(X50&lt;=0.8,"Alta","Muy Alta"))))),"")</f>
        <v/>
      </c>
      <c r="Z50" s="127" t="str">
        <f t="shared" si="8"/>
        <v/>
      </c>
      <c r="AA50" s="126" t="str">
        <f>IFERROR(IF(AB50="","",IF(AB50&lt;=0.2,"Leve",IF(AB50&lt;=0.4,"Menor",IF(AB50&lt;=0.6,"Moderado",IF(AB50&lt;=0.8,"Mayor","Catastrófico"))))),"")</f>
        <v/>
      </c>
      <c r="AB50" s="127" t="str">
        <f>IFERROR(IF(Q50="Impacto",(M50-(+M50*T50)),IF(Q50="Probabilidad",M50,"")),"")</f>
        <v/>
      </c>
      <c r="AC50" s="128" t="str">
        <f t="shared" si="9"/>
        <v/>
      </c>
      <c r="AD50" s="129"/>
      <c r="AE50" s="130"/>
      <c r="AF50" s="131"/>
      <c r="AG50" s="132"/>
      <c r="AH50" s="132"/>
      <c r="AI50" s="130"/>
      <c r="AJ50" s="131"/>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206"/>
      <c r="B51" s="209"/>
      <c r="C51" s="209"/>
      <c r="D51" s="209"/>
      <c r="E51" s="212"/>
      <c r="F51" s="209"/>
      <c r="G51" s="215"/>
      <c r="H51" s="218"/>
      <c r="I51" s="197"/>
      <c r="J51" s="221"/>
      <c r="K51" s="197">
        <f>IF(NOT(ISERROR(MATCH(J51,_xlfn.ANCHORARRAY(E62),0))),I64&amp;"Por favor no seleccionar los criterios de impacto",J51)</f>
        <v>0</v>
      </c>
      <c r="L51" s="218"/>
      <c r="M51" s="197"/>
      <c r="N51" s="203"/>
      <c r="O51" s="120">
        <v>2</v>
      </c>
      <c r="P51" s="121"/>
      <c r="Q51" s="122" t="str">
        <f t="shared" si="6"/>
        <v/>
      </c>
      <c r="R51" s="123"/>
      <c r="S51" s="123"/>
      <c r="T51" s="124" t="str">
        <f t="shared" si="7"/>
        <v/>
      </c>
      <c r="U51" s="123"/>
      <c r="V51" s="123"/>
      <c r="W51" s="123"/>
      <c r="X51" s="125" t="str">
        <f>IFERROR(IF(AND(Q50="Probabilidad",Q51="Probabilidad"),(Z50-(+Z50*T51)),IF(Q51="Probabilidad",(I50-(+I50*T51)),IF(Q51="Impacto",Z50,""))),"")</f>
        <v/>
      </c>
      <c r="Y51" s="126" t="str">
        <f t="shared" si="4"/>
        <v/>
      </c>
      <c r="Z51" s="127" t="str">
        <f t="shared" si="8"/>
        <v/>
      </c>
      <c r="AA51" s="126" t="str">
        <f t="shared" si="5"/>
        <v/>
      </c>
      <c r="AB51" s="127" t="str">
        <f>IFERROR(IF(AND(Q50="Impacto",Q51="Impacto"),(AB50-(+AB50*T51)),IF(Q51="Impacto",(M50-(+M50*T51)),IF(Q51="Probabilidad",AB50,""))),"")</f>
        <v/>
      </c>
      <c r="AC51" s="128" t="str">
        <f t="shared" si="9"/>
        <v/>
      </c>
      <c r="AD51" s="129"/>
      <c r="AE51" s="130"/>
      <c r="AF51" s="131"/>
      <c r="AG51" s="132"/>
      <c r="AH51" s="132"/>
      <c r="AI51" s="130"/>
      <c r="AJ51" s="131"/>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206"/>
      <c r="B52" s="209"/>
      <c r="C52" s="209"/>
      <c r="D52" s="209"/>
      <c r="E52" s="212"/>
      <c r="F52" s="209"/>
      <c r="G52" s="215"/>
      <c r="H52" s="218"/>
      <c r="I52" s="197"/>
      <c r="J52" s="221"/>
      <c r="K52" s="197">
        <f>IF(NOT(ISERROR(MATCH(J52,_xlfn.ANCHORARRAY(E63),0))),I65&amp;"Por favor no seleccionar los criterios de impacto",J52)</f>
        <v>0</v>
      </c>
      <c r="L52" s="218"/>
      <c r="M52" s="197"/>
      <c r="N52" s="203"/>
      <c r="O52" s="120">
        <v>3</v>
      </c>
      <c r="P52" s="133"/>
      <c r="Q52" s="122" t="str">
        <f t="shared" si="6"/>
        <v/>
      </c>
      <c r="R52" s="123"/>
      <c r="S52" s="123"/>
      <c r="T52" s="124" t="str">
        <f t="shared" si="7"/>
        <v/>
      </c>
      <c r="U52" s="123"/>
      <c r="V52" s="123"/>
      <c r="W52" s="123"/>
      <c r="X52" s="125" t="str">
        <f>IFERROR(IF(AND(Q51="Probabilidad",Q52="Probabilidad"),(Z51-(+Z51*T52)),IF(AND(Q51="Impacto",Q52="Probabilidad"),(Z50-(+Z50*T52)),IF(Q52="Impacto",Z51,""))),"")</f>
        <v/>
      </c>
      <c r="Y52" s="126" t="str">
        <f t="shared" si="4"/>
        <v/>
      </c>
      <c r="Z52" s="127" t="str">
        <f t="shared" si="8"/>
        <v/>
      </c>
      <c r="AA52" s="126" t="str">
        <f t="shared" si="5"/>
        <v/>
      </c>
      <c r="AB52" s="127" t="str">
        <f>IFERROR(IF(AND(Q51="Impacto",Q52="Impacto"),(AB51-(+AB51*T52)),IF(AND(Q51="Probabilidad",Q52="Impacto"),(AB50-(+AB50*T52)),IF(Q52="Probabilidad",AB51,""))),"")</f>
        <v/>
      </c>
      <c r="AC52" s="128" t="str">
        <f t="shared" si="9"/>
        <v/>
      </c>
      <c r="AD52" s="129"/>
      <c r="AE52" s="130"/>
      <c r="AF52" s="131"/>
      <c r="AG52" s="132"/>
      <c r="AH52" s="132"/>
      <c r="AI52" s="130"/>
      <c r="AJ52" s="131"/>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hidden="1" customHeight="1" x14ac:dyDescent="0.3">
      <c r="A53" s="206"/>
      <c r="B53" s="209"/>
      <c r="C53" s="209"/>
      <c r="D53" s="209"/>
      <c r="E53" s="212"/>
      <c r="F53" s="209"/>
      <c r="G53" s="215"/>
      <c r="H53" s="218"/>
      <c r="I53" s="197"/>
      <c r="J53" s="221"/>
      <c r="K53" s="197">
        <f>IF(NOT(ISERROR(MATCH(J53,_xlfn.ANCHORARRAY(E64),0))),I66&amp;"Por favor no seleccionar los criterios de impacto",J53)</f>
        <v>0</v>
      </c>
      <c r="L53" s="218"/>
      <c r="M53" s="197"/>
      <c r="N53" s="203"/>
      <c r="O53" s="120">
        <v>4</v>
      </c>
      <c r="P53" s="121"/>
      <c r="Q53" s="122" t="str">
        <f t="shared" si="6"/>
        <v/>
      </c>
      <c r="R53" s="123"/>
      <c r="S53" s="123"/>
      <c r="T53" s="124" t="str">
        <f t="shared" si="7"/>
        <v/>
      </c>
      <c r="U53" s="123"/>
      <c r="V53" s="123"/>
      <c r="W53" s="123"/>
      <c r="X53" s="125" t="str">
        <f>IFERROR(IF(AND(Q52="Probabilidad",Q53="Probabilidad"),(Z52-(+Z52*T53)),IF(AND(Q52="Impacto",Q53="Probabilidad"),(Z51-(+Z51*T53)),IF(Q53="Impacto",Z52,""))),"")</f>
        <v/>
      </c>
      <c r="Y53" s="126" t="str">
        <f t="shared" si="4"/>
        <v/>
      </c>
      <c r="Z53" s="127" t="str">
        <f t="shared" si="8"/>
        <v/>
      </c>
      <c r="AA53" s="126" t="str">
        <f t="shared" si="5"/>
        <v/>
      </c>
      <c r="AB53" s="127" t="str">
        <f>IFERROR(IF(AND(Q52="Impacto",Q53="Impacto"),(AB52-(+AB52*T53)),IF(AND(Q52="Probabilidad",Q53="Impacto"),(AB51-(+AB51*T53)),IF(Q53="Probabilidad",AB52,""))),"")</f>
        <v/>
      </c>
      <c r="AC53" s="128" t="str">
        <f t="shared" si="9"/>
        <v/>
      </c>
      <c r="AD53" s="129"/>
      <c r="AE53" s="130"/>
      <c r="AF53" s="131"/>
      <c r="AG53" s="132"/>
      <c r="AH53" s="132"/>
      <c r="AI53" s="130"/>
      <c r="AJ53" s="131"/>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206"/>
      <c r="B54" s="209"/>
      <c r="C54" s="209"/>
      <c r="D54" s="209"/>
      <c r="E54" s="212"/>
      <c r="F54" s="209"/>
      <c r="G54" s="215"/>
      <c r="H54" s="218"/>
      <c r="I54" s="197"/>
      <c r="J54" s="221"/>
      <c r="K54" s="197">
        <f>IF(NOT(ISERROR(MATCH(J54,_xlfn.ANCHORARRAY(E65),0))),I67&amp;"Por favor no seleccionar los criterios de impacto",J54)</f>
        <v>0</v>
      </c>
      <c r="L54" s="218"/>
      <c r="M54" s="197"/>
      <c r="N54" s="203"/>
      <c r="O54" s="120">
        <v>5</v>
      </c>
      <c r="P54" s="121"/>
      <c r="Q54" s="122" t="str">
        <f t="shared" si="6"/>
        <v/>
      </c>
      <c r="R54" s="123"/>
      <c r="S54" s="123"/>
      <c r="T54" s="124" t="str">
        <f t="shared" si="7"/>
        <v/>
      </c>
      <c r="U54" s="123"/>
      <c r="V54" s="123"/>
      <c r="W54" s="123"/>
      <c r="X54" s="125" t="str">
        <f>IFERROR(IF(AND(Q53="Probabilidad",Q54="Probabilidad"),(Z53-(+Z53*T54)),IF(AND(Q53="Impacto",Q54="Probabilidad"),(Z52-(+Z52*T54)),IF(Q54="Impacto",Z53,""))),"")</f>
        <v/>
      </c>
      <c r="Y54" s="126" t="str">
        <f t="shared" si="4"/>
        <v/>
      </c>
      <c r="Z54" s="127" t="str">
        <f t="shared" si="8"/>
        <v/>
      </c>
      <c r="AA54" s="126" t="str">
        <f t="shared" si="5"/>
        <v/>
      </c>
      <c r="AB54" s="127" t="str">
        <f>IFERROR(IF(AND(Q53="Impacto",Q54="Impacto"),(AB53-(+AB53*T54)),IF(AND(Q53="Probabilidad",Q54="Impacto"),(AB52-(+AB52*T54)),IF(Q54="Probabilidad",AB53,""))),"")</f>
        <v/>
      </c>
      <c r="AC54" s="128" t="str">
        <f t="shared" si="9"/>
        <v/>
      </c>
      <c r="AD54" s="129"/>
      <c r="AE54" s="130"/>
      <c r="AF54" s="131"/>
      <c r="AG54" s="132"/>
      <c r="AH54" s="132"/>
      <c r="AI54" s="130"/>
      <c r="AJ54" s="13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hidden="1" customHeight="1" x14ac:dyDescent="0.3">
      <c r="A55" s="207"/>
      <c r="B55" s="210"/>
      <c r="C55" s="210"/>
      <c r="D55" s="210"/>
      <c r="E55" s="213"/>
      <c r="F55" s="210"/>
      <c r="G55" s="216"/>
      <c r="H55" s="219"/>
      <c r="I55" s="198"/>
      <c r="J55" s="222"/>
      <c r="K55" s="198">
        <f>IF(NOT(ISERROR(MATCH(J55,_xlfn.ANCHORARRAY(E66),0))),I68&amp;"Por favor no seleccionar los criterios de impacto",J55)</f>
        <v>0</v>
      </c>
      <c r="L55" s="219"/>
      <c r="M55" s="198"/>
      <c r="N55" s="204"/>
      <c r="O55" s="120">
        <v>6</v>
      </c>
      <c r="P55" s="121"/>
      <c r="Q55" s="122" t="str">
        <f t="shared" si="6"/>
        <v/>
      </c>
      <c r="R55" s="123"/>
      <c r="S55" s="123"/>
      <c r="T55" s="124" t="str">
        <f t="shared" si="7"/>
        <v/>
      </c>
      <c r="U55" s="123"/>
      <c r="V55" s="123"/>
      <c r="W55" s="123"/>
      <c r="X55" s="125" t="str">
        <f>IFERROR(IF(AND(Q54="Probabilidad",Q55="Probabilidad"),(Z54-(+Z54*T55)),IF(AND(Q54="Impacto",Q55="Probabilidad"),(Z53-(+Z53*T55)),IF(Q55="Impacto",Z54,""))),"")</f>
        <v/>
      </c>
      <c r="Y55" s="126" t="str">
        <f t="shared" si="4"/>
        <v/>
      </c>
      <c r="Z55" s="127" t="str">
        <f t="shared" si="8"/>
        <v/>
      </c>
      <c r="AA55" s="126" t="str">
        <f t="shared" si="5"/>
        <v/>
      </c>
      <c r="AB55" s="127" t="str">
        <f>IFERROR(IF(AND(Q54="Impacto",Q55="Impacto"),(AB54-(+AB54*T55)),IF(AND(Q54="Probabilidad",Q55="Impacto"),(AB53-(+AB53*T55)),IF(Q55="Probabilidad",AB54,""))),"")</f>
        <v/>
      </c>
      <c r="AC55" s="128" t="str">
        <f t="shared" si="9"/>
        <v/>
      </c>
      <c r="AD55" s="129"/>
      <c r="AE55" s="130"/>
      <c r="AF55" s="131"/>
      <c r="AG55" s="132"/>
      <c r="AH55" s="132"/>
      <c r="AI55" s="130"/>
      <c r="AJ55" s="13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205">
        <v>10</v>
      </c>
      <c r="B56" s="208"/>
      <c r="C56" s="208"/>
      <c r="D56" s="208"/>
      <c r="E56" s="211"/>
      <c r="F56" s="208"/>
      <c r="G56" s="214"/>
      <c r="H56" s="217" t="str">
        <f>IF(G56&lt;=0,"",IF(G56&lt;=2,"Muy Baja",IF(G56&lt;=24,"Baja",IF(G56&lt;=500,"Media",IF(G56&lt;=5000,"Alta","Muy Alta")))))</f>
        <v/>
      </c>
      <c r="I56" s="196" t="str">
        <f>IF(H56="","",IF(H56="Muy Baja",0.2,IF(H56="Baja",0.4,IF(H56="Media",0.6,IF(H56="Alta",0.8,IF(H56="Muy Alta",1,))))))</f>
        <v/>
      </c>
      <c r="J56" s="220"/>
      <c r="K56" s="196">
        <f>IF(NOT(ISERROR(MATCH(J56,'Tabla Impacto'!$B$221:$B$223,0))),'Tabla Impacto'!$F$223&amp;"Por favor no seleccionar los criterios de impacto(Afectación Económica o presupuestal y Pérdida Reputacional)",J56)</f>
        <v>0</v>
      </c>
      <c r="L56" s="217" t="str">
        <f>IF(OR(K56='Tabla Impacto'!$C$11,K56='Tabla Impacto'!$D$11),"Leve",IF(OR(K56='Tabla Impacto'!$C$12,K56='Tabla Impacto'!$D$12),"Menor",IF(OR(K56='Tabla Impacto'!$C$13,K56='Tabla Impacto'!$D$13),"Moderado",IF(OR(K56='Tabla Impacto'!$C$14,K56='Tabla Impacto'!$D$14),"Mayor",IF(OR(K56='Tabla Impacto'!$C$15,K56='Tabla Impacto'!$D$15),"Catastrófico","")))))</f>
        <v/>
      </c>
      <c r="M56" s="196" t="str">
        <f>IF(L56="","",IF(L56="Leve",0.2,IF(L56="Menor",0.4,IF(L56="Moderado",0.6,IF(L56="Mayor",0.8,IF(L56="Catastrófico",1,))))))</f>
        <v/>
      </c>
      <c r="N56" s="202"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20">
        <v>1</v>
      </c>
      <c r="P56" s="121"/>
      <c r="Q56" s="122" t="str">
        <f t="shared" si="6"/>
        <v/>
      </c>
      <c r="R56" s="123"/>
      <c r="S56" s="123"/>
      <c r="T56" s="124" t="str">
        <f t="shared" si="7"/>
        <v/>
      </c>
      <c r="U56" s="123"/>
      <c r="V56" s="123"/>
      <c r="W56" s="123"/>
      <c r="X56" s="125" t="str">
        <f>IFERROR(IF(Q56="Probabilidad",(I56-(+I56*T56)),IF(Q56="Impacto",I56,"")),"")</f>
        <v/>
      </c>
      <c r="Y56" s="126" t="str">
        <f>IFERROR(IF(X56="","",IF(X56&lt;=0.2,"Muy Baja",IF(X56&lt;=0.4,"Baja",IF(X56&lt;=0.6,"Media",IF(X56&lt;=0.8,"Alta","Muy Alta"))))),"")</f>
        <v/>
      </c>
      <c r="Z56" s="127" t="str">
        <f t="shared" si="8"/>
        <v/>
      </c>
      <c r="AA56" s="126" t="str">
        <f>IFERROR(IF(AB56="","",IF(AB56&lt;=0.2,"Leve",IF(AB56&lt;=0.4,"Menor",IF(AB56&lt;=0.6,"Moderado",IF(AB56&lt;=0.8,"Mayor","Catastrófico"))))),"")</f>
        <v/>
      </c>
      <c r="AB56" s="127" t="str">
        <f>IFERROR(IF(Q56="Impacto",(M56-(+M56*T56)),IF(Q56="Probabilidad",M56,"")),"")</f>
        <v/>
      </c>
      <c r="AC56" s="128" t="str">
        <f t="shared" si="9"/>
        <v/>
      </c>
      <c r="AD56" s="129"/>
      <c r="AE56" s="130"/>
      <c r="AF56" s="131"/>
      <c r="AG56" s="132"/>
      <c r="AH56" s="132"/>
      <c r="AI56" s="130"/>
      <c r="AJ56" s="13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206"/>
      <c r="B57" s="209"/>
      <c r="C57" s="209"/>
      <c r="D57" s="209"/>
      <c r="E57" s="212"/>
      <c r="F57" s="209"/>
      <c r="G57" s="215"/>
      <c r="H57" s="218"/>
      <c r="I57" s="197"/>
      <c r="J57" s="221"/>
      <c r="K57" s="197">
        <f>IF(NOT(ISERROR(MATCH(J57,_xlfn.ANCHORARRAY(E68),0))),I70&amp;"Por favor no seleccionar los criterios de impacto",J57)</f>
        <v>0</v>
      </c>
      <c r="L57" s="218"/>
      <c r="M57" s="197"/>
      <c r="N57" s="203"/>
      <c r="O57" s="120">
        <v>2</v>
      </c>
      <c r="P57" s="121"/>
      <c r="Q57" s="122" t="str">
        <f t="shared" si="6"/>
        <v/>
      </c>
      <c r="R57" s="123"/>
      <c r="S57" s="123"/>
      <c r="T57" s="124" t="str">
        <f t="shared" si="7"/>
        <v/>
      </c>
      <c r="U57" s="123"/>
      <c r="V57" s="123"/>
      <c r="W57" s="123"/>
      <c r="X57" s="125" t="str">
        <f>IFERROR(IF(AND(Q56="Probabilidad",Q57="Probabilidad"),(Z56-(+Z56*T57)),IF(Q57="Probabilidad",(I56-(+I56*T57)),IF(Q57="Impacto",Z56,""))),"")</f>
        <v/>
      </c>
      <c r="Y57" s="126" t="str">
        <f t="shared" si="4"/>
        <v/>
      </c>
      <c r="Z57" s="127" t="str">
        <f t="shared" si="8"/>
        <v/>
      </c>
      <c r="AA57" s="126" t="str">
        <f t="shared" si="5"/>
        <v/>
      </c>
      <c r="AB57" s="127" t="str">
        <f>IFERROR(IF(AND(Q56="Impacto",Q57="Impacto"),(AB56-(+AB56*T57)),IF(Q57="Impacto",(M56-(+M56*T57)),IF(Q57="Probabilidad",AB56,""))),"")</f>
        <v/>
      </c>
      <c r="AC57" s="128" t="str">
        <f t="shared" si="9"/>
        <v/>
      </c>
      <c r="AD57" s="129"/>
      <c r="AE57" s="130"/>
      <c r="AF57" s="131"/>
      <c r="AG57" s="132"/>
      <c r="AH57" s="132"/>
      <c r="AI57" s="130"/>
      <c r="AJ57" s="131"/>
    </row>
    <row r="58" spans="1:68" ht="151.5" hidden="1" customHeight="1" x14ac:dyDescent="0.3">
      <c r="A58" s="206"/>
      <c r="B58" s="209"/>
      <c r="C58" s="209"/>
      <c r="D58" s="209"/>
      <c r="E58" s="212"/>
      <c r="F58" s="209"/>
      <c r="G58" s="215"/>
      <c r="H58" s="218"/>
      <c r="I58" s="197"/>
      <c r="J58" s="221"/>
      <c r="K58" s="197">
        <f>IF(NOT(ISERROR(MATCH(J58,_xlfn.ANCHORARRAY(E69),0))),I71&amp;"Por favor no seleccionar los criterios de impacto",J58)</f>
        <v>0</v>
      </c>
      <c r="L58" s="218"/>
      <c r="M58" s="197"/>
      <c r="N58" s="203"/>
      <c r="O58" s="120">
        <v>3</v>
      </c>
      <c r="P58" s="133"/>
      <c r="Q58" s="122" t="str">
        <f t="shared" si="6"/>
        <v/>
      </c>
      <c r="R58" s="123"/>
      <c r="S58" s="123"/>
      <c r="T58" s="124" t="str">
        <f t="shared" si="7"/>
        <v/>
      </c>
      <c r="U58" s="123"/>
      <c r="V58" s="123"/>
      <c r="W58" s="123"/>
      <c r="X58" s="125" t="str">
        <f>IFERROR(IF(AND(Q57="Probabilidad",Q58="Probabilidad"),(Z57-(+Z57*T58)),IF(AND(Q57="Impacto",Q58="Probabilidad"),(Z56-(+Z56*T58)),IF(Q58="Impacto",Z57,""))),"")</f>
        <v/>
      </c>
      <c r="Y58" s="126" t="str">
        <f t="shared" si="4"/>
        <v/>
      </c>
      <c r="Z58" s="127" t="str">
        <f t="shared" si="8"/>
        <v/>
      </c>
      <c r="AA58" s="126" t="str">
        <f t="shared" si="5"/>
        <v/>
      </c>
      <c r="AB58" s="127" t="str">
        <f>IFERROR(IF(AND(Q57="Impacto",Q58="Impacto"),(AB57-(+AB57*T58)),IF(AND(Q57="Probabilidad",Q58="Impacto"),(AB56-(+AB56*T58)),IF(Q58="Probabilidad",AB57,""))),"")</f>
        <v/>
      </c>
      <c r="AC58" s="128" t="str">
        <f t="shared" si="9"/>
        <v/>
      </c>
      <c r="AD58" s="129"/>
      <c r="AE58" s="130"/>
      <c r="AF58" s="131"/>
      <c r="AG58" s="132"/>
      <c r="AH58" s="132"/>
      <c r="AI58" s="130"/>
      <c r="AJ58" s="131"/>
    </row>
    <row r="59" spans="1:68" ht="151.5" hidden="1" customHeight="1" x14ac:dyDescent="0.3">
      <c r="A59" s="206"/>
      <c r="B59" s="209"/>
      <c r="C59" s="209"/>
      <c r="D59" s="209"/>
      <c r="E59" s="212"/>
      <c r="F59" s="209"/>
      <c r="G59" s="215"/>
      <c r="H59" s="218"/>
      <c r="I59" s="197"/>
      <c r="J59" s="221"/>
      <c r="K59" s="197">
        <f>IF(NOT(ISERROR(MATCH(J59,_xlfn.ANCHORARRAY(E70),0))),I72&amp;"Por favor no seleccionar los criterios de impacto",J59)</f>
        <v>0</v>
      </c>
      <c r="L59" s="218"/>
      <c r="M59" s="197"/>
      <c r="N59" s="203"/>
      <c r="O59" s="120">
        <v>4</v>
      </c>
      <c r="P59" s="121"/>
      <c r="Q59" s="122" t="str">
        <f t="shared" si="6"/>
        <v/>
      </c>
      <c r="R59" s="123"/>
      <c r="S59" s="123"/>
      <c r="T59" s="124" t="str">
        <f t="shared" si="7"/>
        <v/>
      </c>
      <c r="U59" s="123"/>
      <c r="V59" s="123"/>
      <c r="W59" s="123"/>
      <c r="X59" s="125" t="str">
        <f>IFERROR(IF(AND(Q58="Probabilidad",Q59="Probabilidad"),(Z58-(+Z58*T59)),IF(AND(Q58="Impacto",Q59="Probabilidad"),(Z57-(+Z57*T59)),IF(Q59="Impacto",Z58,""))),"")</f>
        <v/>
      </c>
      <c r="Y59" s="126" t="str">
        <f t="shared" si="4"/>
        <v/>
      </c>
      <c r="Z59" s="127" t="str">
        <f t="shared" si="8"/>
        <v/>
      </c>
      <c r="AA59" s="126" t="str">
        <f t="shared" si="5"/>
        <v/>
      </c>
      <c r="AB59" s="127" t="str">
        <f>IFERROR(IF(AND(Q58="Impacto",Q59="Impacto"),(AB58-(+AB58*T59)),IF(AND(Q58="Probabilidad",Q59="Impacto"),(AB57-(+AB57*T59)),IF(Q59="Probabilidad",AB58,""))),"")</f>
        <v/>
      </c>
      <c r="AC59" s="128" t="str">
        <f t="shared" si="9"/>
        <v/>
      </c>
      <c r="AD59" s="129"/>
      <c r="AE59" s="130"/>
      <c r="AF59" s="131"/>
      <c r="AG59" s="132"/>
      <c r="AH59" s="132"/>
      <c r="AI59" s="130"/>
      <c r="AJ59" s="131"/>
    </row>
    <row r="60" spans="1:68" ht="151.5" hidden="1" customHeight="1" x14ac:dyDescent="0.3">
      <c r="A60" s="206"/>
      <c r="B60" s="209"/>
      <c r="C60" s="209"/>
      <c r="D60" s="209"/>
      <c r="E60" s="212"/>
      <c r="F60" s="209"/>
      <c r="G60" s="215"/>
      <c r="H60" s="218"/>
      <c r="I60" s="197"/>
      <c r="J60" s="221"/>
      <c r="K60" s="197">
        <f>IF(NOT(ISERROR(MATCH(J60,_xlfn.ANCHORARRAY(E71),0))),I73&amp;"Por favor no seleccionar los criterios de impacto",J60)</f>
        <v>0</v>
      </c>
      <c r="L60" s="218"/>
      <c r="M60" s="197"/>
      <c r="N60" s="203"/>
      <c r="O60" s="120">
        <v>5</v>
      </c>
      <c r="P60" s="121"/>
      <c r="Q60" s="122" t="str">
        <f t="shared" si="6"/>
        <v/>
      </c>
      <c r="R60" s="123"/>
      <c r="S60" s="123"/>
      <c r="T60" s="124" t="str">
        <f t="shared" si="7"/>
        <v/>
      </c>
      <c r="U60" s="123"/>
      <c r="V60" s="123"/>
      <c r="W60" s="123"/>
      <c r="X60" s="125" t="str">
        <f>IFERROR(IF(AND(Q59="Probabilidad",Q60="Probabilidad"),(Z59-(+Z59*T60)),IF(AND(Q59="Impacto",Q60="Probabilidad"),(Z58-(+Z58*T60)),IF(Q60="Impacto",Z59,""))),"")</f>
        <v/>
      </c>
      <c r="Y60" s="126" t="str">
        <f t="shared" si="4"/>
        <v/>
      </c>
      <c r="Z60" s="127" t="str">
        <f t="shared" si="8"/>
        <v/>
      </c>
      <c r="AA60" s="126" t="str">
        <f t="shared" si="5"/>
        <v/>
      </c>
      <c r="AB60" s="127" t="str">
        <f>IFERROR(IF(AND(Q59="Impacto",Q60="Impacto"),(AB59-(+AB59*T60)),IF(AND(Q59="Probabilidad",Q60="Impacto"),(AB58-(+AB58*T60)),IF(Q60="Probabilidad",AB59,""))),"")</f>
        <v/>
      </c>
      <c r="AC60" s="128" t="str">
        <f t="shared" si="9"/>
        <v/>
      </c>
      <c r="AD60" s="129"/>
      <c r="AE60" s="130"/>
      <c r="AF60" s="131"/>
      <c r="AG60" s="132"/>
      <c r="AH60" s="132"/>
      <c r="AI60" s="130"/>
      <c r="AJ60" s="131"/>
    </row>
    <row r="61" spans="1:68" ht="151.5" hidden="1" customHeight="1" x14ac:dyDescent="0.3">
      <c r="A61" s="207"/>
      <c r="B61" s="210"/>
      <c r="C61" s="210"/>
      <c r="D61" s="210"/>
      <c r="E61" s="213"/>
      <c r="F61" s="210"/>
      <c r="G61" s="216"/>
      <c r="H61" s="219"/>
      <c r="I61" s="198"/>
      <c r="J61" s="222"/>
      <c r="K61" s="198">
        <f>IF(NOT(ISERROR(MATCH(J61,_xlfn.ANCHORARRAY(E72),0))),I74&amp;"Por favor no seleccionar los criterios de impacto",J61)</f>
        <v>0</v>
      </c>
      <c r="L61" s="219"/>
      <c r="M61" s="198"/>
      <c r="N61" s="204"/>
      <c r="O61" s="120">
        <v>6</v>
      </c>
      <c r="P61" s="121"/>
      <c r="Q61" s="122" t="str">
        <f t="shared" si="6"/>
        <v/>
      </c>
      <c r="R61" s="123"/>
      <c r="S61" s="123"/>
      <c r="T61" s="124" t="str">
        <f t="shared" si="7"/>
        <v/>
      </c>
      <c r="U61" s="123"/>
      <c r="V61" s="123"/>
      <c r="W61" s="123"/>
      <c r="X61" s="125" t="str">
        <f>IFERROR(IF(AND(Q60="Probabilidad",Q61="Probabilidad"),(Z60-(+Z60*T61)),IF(AND(Q60="Impacto",Q61="Probabilidad"),(Z59-(+Z59*T61)),IF(Q61="Impacto",Z60,""))),"")</f>
        <v/>
      </c>
      <c r="Y61" s="126" t="str">
        <f t="shared" si="4"/>
        <v/>
      </c>
      <c r="Z61" s="127" t="str">
        <f t="shared" si="8"/>
        <v/>
      </c>
      <c r="AA61" s="126" t="str">
        <f t="shared" si="5"/>
        <v/>
      </c>
      <c r="AB61" s="127" t="str">
        <f>IFERROR(IF(AND(Q60="Impacto",Q61="Impacto"),(AB60-(+AB60*T61)),IF(AND(Q60="Probabilidad",Q61="Impacto"),(AB59-(+AB59*T61)),IF(Q61="Probabilidad",AB60,""))),"")</f>
        <v/>
      </c>
      <c r="AC61" s="128" t="str">
        <f t="shared" si="9"/>
        <v/>
      </c>
      <c r="AD61" s="129"/>
      <c r="AE61" s="130"/>
      <c r="AF61" s="131"/>
      <c r="AG61" s="132"/>
      <c r="AH61" s="132"/>
      <c r="AI61" s="130"/>
      <c r="AJ61" s="131"/>
    </row>
    <row r="62" spans="1:68" ht="49.5" hidden="1" customHeight="1" x14ac:dyDescent="0.3">
      <c r="A62" s="6"/>
      <c r="B62" s="199" t="s">
        <v>131</v>
      </c>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1"/>
    </row>
    <row r="64" spans="1:68" x14ac:dyDescent="0.3">
      <c r="A64" s="1"/>
      <c r="B64" s="24" t="s">
        <v>143</v>
      </c>
      <c r="C64" s="1"/>
      <c r="D64" s="1"/>
      <c r="F64" s="1"/>
    </row>
  </sheetData>
  <dataConsolidate/>
  <mergeCells count="174">
    <mergeCell ref="X8:X9"/>
    <mergeCell ref="P8:P9"/>
    <mergeCell ref="R8:W8"/>
    <mergeCell ref="AK7:AL8"/>
    <mergeCell ref="AK9:AK10"/>
    <mergeCell ref="AL9:AL10"/>
    <mergeCell ref="A10:A15"/>
    <mergeCell ref="B10:B15"/>
    <mergeCell ref="C10:C15"/>
    <mergeCell ref="D10:D15"/>
    <mergeCell ref="E10:E15"/>
    <mergeCell ref="E8:E9"/>
    <mergeCell ref="D8:D9"/>
    <mergeCell ref="C8:C9"/>
    <mergeCell ref="O7:W7"/>
    <mergeCell ref="X7:AD7"/>
    <mergeCell ref="AE7:AJ7"/>
    <mergeCell ref="A1:AH3"/>
    <mergeCell ref="M8:M9"/>
    <mergeCell ref="AJ8:AJ9"/>
    <mergeCell ref="AI8:AI9"/>
    <mergeCell ref="AH8:AH9"/>
    <mergeCell ref="AG8:AG9"/>
    <mergeCell ref="AF8:AF9"/>
    <mergeCell ref="AE8:AE9"/>
    <mergeCell ref="K16:K21"/>
    <mergeCell ref="L16:L21"/>
    <mergeCell ref="M16:M21"/>
    <mergeCell ref="N16:N21"/>
    <mergeCell ref="AA8:AA9"/>
    <mergeCell ref="Y8:Y9"/>
    <mergeCell ref="Z8:Z9"/>
    <mergeCell ref="AD8:AD9"/>
    <mergeCell ref="O8:O9"/>
    <mergeCell ref="AC8:AC9"/>
    <mergeCell ref="A4:B4"/>
    <mergeCell ref="A5:B5"/>
    <mergeCell ref="A6:B6"/>
    <mergeCell ref="A8:A9"/>
    <mergeCell ref="F8:F9"/>
    <mergeCell ref="AB8:AB9"/>
    <mergeCell ref="C5:N5"/>
    <mergeCell ref="C6:N6"/>
    <mergeCell ref="C4:N4"/>
    <mergeCell ref="L8:L9"/>
    <mergeCell ref="G22:G26"/>
    <mergeCell ref="F16:F21"/>
    <mergeCell ref="G16:G21"/>
    <mergeCell ref="H16:H21"/>
    <mergeCell ref="I16:I21"/>
    <mergeCell ref="J16:J21"/>
    <mergeCell ref="G8:G9"/>
    <mergeCell ref="H8:H9"/>
    <mergeCell ref="J22:J26"/>
    <mergeCell ref="K22:K26"/>
    <mergeCell ref="N22:N26"/>
    <mergeCell ref="D16:D21"/>
    <mergeCell ref="E16:E21"/>
    <mergeCell ref="A7:G7"/>
    <mergeCell ref="H7:N7"/>
    <mergeCell ref="C16:C21"/>
    <mergeCell ref="A16:A21"/>
    <mergeCell ref="B16:B21"/>
    <mergeCell ref="A22:A26"/>
    <mergeCell ref="B22:B26"/>
    <mergeCell ref="C22:C26"/>
    <mergeCell ref="D22:D26"/>
    <mergeCell ref="E22:E26"/>
    <mergeCell ref="F22:F26"/>
    <mergeCell ref="O4:Q4"/>
    <mergeCell ref="B8:B9"/>
    <mergeCell ref="N8:N9"/>
    <mergeCell ref="J8:J9"/>
    <mergeCell ref="K8:K9"/>
    <mergeCell ref="Q8:Q9"/>
    <mergeCell ref="N10:N15"/>
    <mergeCell ref="I10:I15"/>
    <mergeCell ref="J10:J15"/>
    <mergeCell ref="K10:K15"/>
    <mergeCell ref="L10:L15"/>
    <mergeCell ref="M10:M15"/>
    <mergeCell ref="F10:F15"/>
    <mergeCell ref="G10:G15"/>
    <mergeCell ref="H10:H15"/>
    <mergeCell ref="I8:I9"/>
    <mergeCell ref="A27:A31"/>
    <mergeCell ref="B27:B31"/>
    <mergeCell ref="C27:C31"/>
    <mergeCell ref="D27:D31"/>
    <mergeCell ref="E27:E31"/>
    <mergeCell ref="F27:F31"/>
    <mergeCell ref="G27:G31"/>
    <mergeCell ref="H27:H31"/>
    <mergeCell ref="I27:I31"/>
    <mergeCell ref="J27:J31"/>
    <mergeCell ref="K27:K31"/>
    <mergeCell ref="L27:L31"/>
    <mergeCell ref="M27:M31"/>
    <mergeCell ref="N27:N31"/>
    <mergeCell ref="L22:L26"/>
    <mergeCell ref="F38:F43"/>
    <mergeCell ref="G38:G43"/>
    <mergeCell ref="H38:H43"/>
    <mergeCell ref="I38:I43"/>
    <mergeCell ref="H22:H26"/>
    <mergeCell ref="I22:I26"/>
    <mergeCell ref="M22:M26"/>
    <mergeCell ref="A38:A43"/>
    <mergeCell ref="B38:B43"/>
    <mergeCell ref="C38:C43"/>
    <mergeCell ref="D38:D43"/>
    <mergeCell ref="E38:E43"/>
    <mergeCell ref="M32:M37"/>
    <mergeCell ref="N32:N37"/>
    <mergeCell ref="J38:J43"/>
    <mergeCell ref="K38:K43"/>
    <mergeCell ref="L38:L43"/>
    <mergeCell ref="A32:A37"/>
    <mergeCell ref="B32:B37"/>
    <mergeCell ref="C32:C37"/>
    <mergeCell ref="D32:D37"/>
    <mergeCell ref="E32:E37"/>
    <mergeCell ref="F32:F37"/>
    <mergeCell ref="G32:G37"/>
    <mergeCell ref="H32:H37"/>
    <mergeCell ref="I32:I37"/>
    <mergeCell ref="J32:J37"/>
    <mergeCell ref="K32:K37"/>
    <mergeCell ref="L32:L37"/>
    <mergeCell ref="M38:M43"/>
    <mergeCell ref="N38:N43"/>
    <mergeCell ref="F44:F49"/>
    <mergeCell ref="G44:G49"/>
    <mergeCell ref="H44:H49"/>
    <mergeCell ref="I44:I49"/>
    <mergeCell ref="J44:J49"/>
    <mergeCell ref="A44:A49"/>
    <mergeCell ref="B44:B49"/>
    <mergeCell ref="C44:C49"/>
    <mergeCell ref="D44:D49"/>
    <mergeCell ref="E44:E49"/>
    <mergeCell ref="A50:A55"/>
    <mergeCell ref="B50:B55"/>
    <mergeCell ref="C50:C55"/>
    <mergeCell ref="D50:D55"/>
    <mergeCell ref="E50:E55"/>
    <mergeCell ref="F50:F55"/>
    <mergeCell ref="G50:G55"/>
    <mergeCell ref="H50:H55"/>
    <mergeCell ref="I50:I55"/>
    <mergeCell ref="K44:K49"/>
    <mergeCell ref="B62:AJ62"/>
    <mergeCell ref="M50:M55"/>
    <mergeCell ref="N50:N55"/>
    <mergeCell ref="A56:A61"/>
    <mergeCell ref="B56:B61"/>
    <mergeCell ref="C56:C61"/>
    <mergeCell ref="D56:D61"/>
    <mergeCell ref="E56:E61"/>
    <mergeCell ref="F56:F61"/>
    <mergeCell ref="G56:G61"/>
    <mergeCell ref="H56:H61"/>
    <mergeCell ref="I56:I61"/>
    <mergeCell ref="J56:J61"/>
    <mergeCell ref="K56:K61"/>
    <mergeCell ref="L56:L61"/>
    <mergeCell ref="M56:M61"/>
    <mergeCell ref="N56:N61"/>
    <mergeCell ref="J50:J55"/>
    <mergeCell ref="L44:L49"/>
    <mergeCell ref="M44:M49"/>
    <mergeCell ref="N44:N49"/>
    <mergeCell ref="K50:K55"/>
    <mergeCell ref="L50:L55"/>
  </mergeCells>
  <conditionalFormatting sqref="H10 Y10:Y61">
    <cfRule type="cellIs" dxfId="96" priority="382" operator="equal">
      <formula>"Muy Alta"</formula>
    </cfRule>
    <cfRule type="cellIs" dxfId="95" priority="385" operator="equal">
      <formula>"Baja"</formula>
    </cfRule>
    <cfRule type="cellIs" dxfId="94" priority="386" operator="equal">
      <formula>"Muy Baja"</formula>
    </cfRule>
    <cfRule type="cellIs" dxfId="93" priority="383" operator="equal">
      <formula>"Alta"</formula>
    </cfRule>
    <cfRule type="cellIs" dxfId="92" priority="384" operator="equal">
      <formula>"Media"</formula>
    </cfRule>
  </conditionalFormatting>
  <conditionalFormatting sqref="H16">
    <cfRule type="cellIs" dxfId="91" priority="53" operator="equal">
      <formula>"Baja"</formula>
    </cfRule>
    <cfRule type="cellIs" dxfId="90" priority="50" operator="equal">
      <formula>"Muy Alta"</formula>
    </cfRule>
    <cfRule type="cellIs" dxfId="89" priority="51" operator="equal">
      <formula>"Alta"</formula>
    </cfRule>
    <cfRule type="cellIs" dxfId="88" priority="52" operator="equal">
      <formula>"Media"</formula>
    </cfRule>
    <cfRule type="cellIs" dxfId="87" priority="54" operator="equal">
      <formula>"Muy Baja"</formula>
    </cfRule>
  </conditionalFormatting>
  <conditionalFormatting sqref="H22">
    <cfRule type="cellIs" dxfId="86" priority="288" operator="equal">
      <formula>"Muy Baja"</formula>
    </cfRule>
    <cfRule type="cellIs" dxfId="85" priority="287" operator="equal">
      <formula>"Baja"</formula>
    </cfRule>
    <cfRule type="cellIs" dxfId="84" priority="286" operator="equal">
      <formula>"Media"</formula>
    </cfRule>
    <cfRule type="cellIs" dxfId="83" priority="285" operator="equal">
      <formula>"Alta"</formula>
    </cfRule>
    <cfRule type="cellIs" dxfId="82" priority="284" operator="equal">
      <formula>"Muy Alta"</formula>
    </cfRule>
  </conditionalFormatting>
  <conditionalFormatting sqref="H27">
    <cfRule type="cellIs" dxfId="81" priority="256" operator="equal">
      <formula>"Muy Alta"</formula>
    </cfRule>
    <cfRule type="cellIs" dxfId="80" priority="260" operator="equal">
      <formula>"Muy Baja"</formula>
    </cfRule>
    <cfRule type="cellIs" dxfId="79" priority="259" operator="equal">
      <formula>"Baja"</formula>
    </cfRule>
    <cfRule type="cellIs" dxfId="78" priority="258" operator="equal">
      <formula>"Media"</formula>
    </cfRule>
    <cfRule type="cellIs" dxfId="77" priority="257" operator="equal">
      <formula>"Alta"</formula>
    </cfRule>
  </conditionalFormatting>
  <conditionalFormatting sqref="H32">
    <cfRule type="cellIs" dxfId="76" priority="228" operator="equal">
      <formula>"Muy Alta"</formula>
    </cfRule>
    <cfRule type="cellIs" dxfId="75" priority="229" operator="equal">
      <formula>"Alta"</formula>
    </cfRule>
    <cfRule type="cellIs" dxfId="74" priority="230" operator="equal">
      <formula>"Media"</formula>
    </cfRule>
    <cfRule type="cellIs" dxfId="73" priority="231" operator="equal">
      <formula>"Baja"</formula>
    </cfRule>
    <cfRule type="cellIs" dxfId="72" priority="232" operator="equal">
      <formula>"Muy Baja"</formula>
    </cfRule>
  </conditionalFormatting>
  <conditionalFormatting sqref="H38">
    <cfRule type="cellIs" dxfId="71" priority="173" operator="equal">
      <formula>"Alta"</formula>
    </cfRule>
    <cfRule type="cellIs" dxfId="70" priority="172" operator="equal">
      <formula>"Muy Alta"</formula>
    </cfRule>
    <cfRule type="cellIs" dxfId="69" priority="175" operator="equal">
      <formula>"Baja"</formula>
    </cfRule>
    <cfRule type="cellIs" dxfId="68" priority="176" operator="equal">
      <formula>"Muy Baja"</formula>
    </cfRule>
    <cfRule type="cellIs" dxfId="67" priority="174" operator="equal">
      <formula>"Media"</formula>
    </cfRule>
  </conditionalFormatting>
  <conditionalFormatting sqref="H44">
    <cfRule type="cellIs" dxfId="66" priority="146" operator="equal">
      <formula>"Media"</formula>
    </cfRule>
    <cfRule type="cellIs" dxfId="65" priority="147" operator="equal">
      <formula>"Baja"</formula>
    </cfRule>
    <cfRule type="cellIs" dxfId="64" priority="148" operator="equal">
      <formula>"Muy Baja"</formula>
    </cfRule>
    <cfRule type="cellIs" dxfId="63" priority="144" operator="equal">
      <formula>"Muy Alta"</formula>
    </cfRule>
    <cfRule type="cellIs" dxfId="62" priority="145" operator="equal">
      <formula>"Alta"</formula>
    </cfRule>
  </conditionalFormatting>
  <conditionalFormatting sqref="H50">
    <cfRule type="cellIs" dxfId="61" priority="119" operator="equal">
      <formula>"Baja"</formula>
    </cfRule>
    <cfRule type="cellIs" dxfId="60" priority="116" operator="equal">
      <formula>"Muy Alta"</formula>
    </cfRule>
    <cfRule type="cellIs" dxfId="59" priority="120" operator="equal">
      <formula>"Muy Baja"</formula>
    </cfRule>
    <cfRule type="cellIs" dxfId="58" priority="117" operator="equal">
      <formula>"Alta"</formula>
    </cfRule>
    <cfRule type="cellIs" dxfId="57" priority="118" operator="equal">
      <formula>"Media"</formula>
    </cfRule>
  </conditionalFormatting>
  <conditionalFormatting sqref="H56">
    <cfRule type="cellIs" dxfId="56" priority="88" operator="equal">
      <formula>"Muy Alta"</formula>
    </cfRule>
    <cfRule type="cellIs" dxfId="55" priority="92" operator="equal">
      <formula>"Muy Baja"</formula>
    </cfRule>
    <cfRule type="cellIs" dxfId="54" priority="91" operator="equal">
      <formula>"Baja"</formula>
    </cfRule>
    <cfRule type="cellIs" dxfId="53" priority="90" operator="equal">
      <formula>"Media"</formula>
    </cfRule>
    <cfRule type="cellIs" dxfId="52" priority="89" operator="equal">
      <formula>"Alta"</formula>
    </cfRule>
  </conditionalFormatting>
  <conditionalFormatting sqref="K10:K61">
    <cfRule type="containsText" dxfId="51" priority="64" operator="containsText" text="❌">
      <formula>NOT(ISERROR(SEARCH("❌",K10)))</formula>
    </cfRule>
  </conditionalFormatting>
  <conditionalFormatting sqref="L10 AA19:AA61 L22 L27 L32 L38 L44 L50 L56">
    <cfRule type="cellIs" dxfId="50" priority="379" operator="equal">
      <formula>"Moderado"</formula>
    </cfRule>
    <cfRule type="cellIs" dxfId="49" priority="380" operator="equal">
      <formula>"Menor"</formula>
    </cfRule>
    <cfRule type="cellIs" dxfId="48" priority="381" operator="equal">
      <formula>"Leve"</formula>
    </cfRule>
    <cfRule type="cellIs" dxfId="47" priority="377" operator="equal">
      <formula>"Catastrófico"</formula>
    </cfRule>
    <cfRule type="cellIs" dxfId="46" priority="378" operator="equal">
      <formula>"Mayor"</formula>
    </cfRule>
  </conditionalFormatting>
  <conditionalFormatting sqref="L16">
    <cfRule type="cellIs" dxfId="45" priority="63" operator="equal">
      <formula>"Leve"</formula>
    </cfRule>
    <cfRule type="cellIs" dxfId="44" priority="62" operator="equal">
      <formula>"Menor"</formula>
    </cfRule>
    <cfRule type="cellIs" dxfId="43" priority="61" operator="equal">
      <formula>"Moderado"</formula>
    </cfRule>
    <cfRule type="cellIs" dxfId="42" priority="60" operator="equal">
      <formula>"Mayor"</formula>
    </cfRule>
    <cfRule type="cellIs" dxfId="41" priority="59" operator="equal">
      <formula>"Catastrófico"</formula>
    </cfRule>
  </conditionalFormatting>
  <conditionalFormatting sqref="N10 AC10:AC61">
    <cfRule type="cellIs" dxfId="40" priority="374" operator="equal">
      <formula>"Alto"</formula>
    </cfRule>
    <cfRule type="cellIs" dxfId="39" priority="373" operator="equal">
      <formula>"Extremo"</formula>
    </cfRule>
    <cfRule type="cellIs" dxfId="38" priority="375" operator="equal">
      <formula>"Moderado"</formula>
    </cfRule>
    <cfRule type="cellIs" dxfId="37" priority="376" operator="equal">
      <formula>"Bajo"</formula>
    </cfRule>
  </conditionalFormatting>
  <conditionalFormatting sqref="N16">
    <cfRule type="cellIs" dxfId="36" priority="55" operator="equal">
      <formula>"Extremo"</formula>
    </cfRule>
    <cfRule type="cellIs" dxfId="35" priority="58" operator="equal">
      <formula>"Bajo"</formula>
    </cfRule>
    <cfRule type="cellIs" dxfId="34" priority="57" operator="equal">
      <formula>"Moderado"</formula>
    </cfRule>
    <cfRule type="cellIs" dxfId="33" priority="56" operator="equal">
      <formula>"Alto"</formula>
    </cfRule>
  </conditionalFormatting>
  <conditionalFormatting sqref="N22">
    <cfRule type="cellIs" dxfId="32" priority="278" operator="equal">
      <formula>"Bajo"</formula>
    </cfRule>
    <cfRule type="cellIs" dxfId="31" priority="275" operator="equal">
      <formula>"Extremo"</formula>
    </cfRule>
    <cfRule type="cellIs" dxfId="30" priority="276" operator="equal">
      <formula>"Alto"</formula>
    </cfRule>
    <cfRule type="cellIs" dxfId="29" priority="277" operator="equal">
      <formula>"Moderado"</formula>
    </cfRule>
  </conditionalFormatting>
  <conditionalFormatting sqref="N27">
    <cfRule type="cellIs" dxfId="28" priority="248" operator="equal">
      <formula>"Alto"</formula>
    </cfRule>
    <cfRule type="cellIs" dxfId="27" priority="249" operator="equal">
      <formula>"Moderado"</formula>
    </cfRule>
    <cfRule type="cellIs" dxfId="26" priority="250" operator="equal">
      <formula>"Bajo"</formula>
    </cfRule>
    <cfRule type="cellIs" dxfId="25" priority="247" operator="equal">
      <formula>"Extremo"</formula>
    </cfRule>
  </conditionalFormatting>
  <conditionalFormatting sqref="N32 N38">
    <cfRule type="cellIs" dxfId="24" priority="219" operator="equal">
      <formula>"Extremo"</formula>
    </cfRule>
    <cfRule type="cellIs" dxfId="23" priority="220" operator="equal">
      <formula>"Alto"</formula>
    </cfRule>
    <cfRule type="cellIs" dxfId="22" priority="221" operator="equal">
      <formula>"Moderado"</formula>
    </cfRule>
    <cfRule type="cellIs" dxfId="21" priority="222" operator="equal">
      <formula>"Bajo"</formula>
    </cfRule>
  </conditionalFormatting>
  <conditionalFormatting sqref="N44">
    <cfRule type="cellIs" dxfId="20" priority="138" operator="equal">
      <formula>"Bajo"</formula>
    </cfRule>
    <cfRule type="cellIs" dxfId="19" priority="137" operator="equal">
      <formula>"Moderado"</formula>
    </cfRule>
    <cfRule type="cellIs" dxfId="18" priority="136" operator="equal">
      <formula>"Alto"</formula>
    </cfRule>
    <cfRule type="cellIs" dxfId="17" priority="135" operator="equal">
      <formula>"Extremo"</formula>
    </cfRule>
  </conditionalFormatting>
  <conditionalFormatting sqref="N50">
    <cfRule type="cellIs" dxfId="16" priority="107" operator="equal">
      <formula>"Extremo"</formula>
    </cfRule>
    <cfRule type="cellIs" dxfId="15" priority="110" operator="equal">
      <formula>"Bajo"</formula>
    </cfRule>
    <cfRule type="cellIs" dxfId="14" priority="109" operator="equal">
      <formula>"Moderado"</formula>
    </cfRule>
    <cfRule type="cellIs" dxfId="13" priority="108" operator="equal">
      <formula>"Alto"</formula>
    </cfRule>
  </conditionalFormatting>
  <conditionalFormatting sqref="N56">
    <cfRule type="cellIs" dxfId="12" priority="82" operator="equal">
      <formula>"Bajo"</formula>
    </cfRule>
    <cfRule type="cellIs" dxfId="11" priority="81" operator="equal">
      <formula>"Moderado"</formula>
    </cfRule>
    <cfRule type="cellIs" dxfId="10" priority="80" operator="equal">
      <formula>"Alto"</formula>
    </cfRule>
    <cfRule type="cellIs" dxfId="9" priority="79" operator="equal">
      <formula>"Extremo"</formula>
    </cfRule>
  </conditionalFormatting>
  <conditionalFormatting sqref="AA10:AA16">
    <cfRule type="cellIs" dxfId="8" priority="294" operator="equal">
      <formula>"Mayor"</formula>
    </cfRule>
    <cfRule type="cellIs" dxfId="7" priority="295" operator="equal">
      <formula>"Moderado"</formula>
    </cfRule>
    <cfRule type="cellIs" dxfId="6" priority="296" operator="equal">
      <formula>"Menor"</formula>
    </cfRule>
    <cfRule type="cellIs" dxfId="5" priority="297" operator="equal">
      <formula>"Leve"</formula>
    </cfRule>
    <cfRule type="cellIs" dxfId="4" priority="293" operator="equal">
      <formula>"Catastrófico"</formula>
    </cfRule>
  </conditionalFormatting>
  <conditionalFormatting sqref="AA17:AA18">
    <cfRule type="cellIs" dxfId="3" priority="34" operator="equal">
      <formula>"Extremo"</formula>
    </cfRule>
    <cfRule type="cellIs" dxfId="2" priority="37" operator="equal">
      <formula>"Bajo"</formula>
    </cfRule>
    <cfRule type="cellIs" dxfId="1" priority="36" operator="equal">
      <formula>"Moderado"</formula>
    </cfRule>
    <cfRule type="cellIs" dxfId="0" priority="35" operator="equal">
      <formula>"Alto"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AJ13:AJ14 AJ10:AJ11 AJ24:AJ25 AJ22 AJ32:AJ33 AJ35:AJ36 AJ27:AJ30 AJ38:AJ39 AJ41:AJ42 AJ16:AJ20 AJ59:AJ60 AJ47:AJ48 AJ50:AJ51 AJ53:AJ54 AJ56:AJ57 AJ44:AJ45</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AH16:AI18 AH27:AI29 AH44:AI45 AG10:AG61 AH22:AI22</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AH10:AH15 AH19:AH21 AH23:AH26 AH30:AH43 AH46:AH61</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AI23:AI26 AI10:AI15 AI19:AI21 AI30:AI43 AI46:AI61</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AE10:AE61</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AF10:AF61</xm:sqref>
        </x14:dataValidation>
        <x14:dataValidation type="list" allowBlank="1" showInputMessage="1" showErrorMessage="1" xr:uid="{00000000-0002-0000-0100-000000000000}">
          <x14:formula1>
            <xm:f>'Tabla Valoración controles'!$D$4:$D$6</xm:f>
          </x14:formula1>
          <xm:sqref>R10:R61</xm:sqref>
        </x14:dataValidation>
        <x14:dataValidation type="list" allowBlank="1" showInputMessage="1" showErrorMessage="1" xr:uid="{00000000-0002-0000-0100-000001000000}">
          <x14:formula1>
            <xm:f>'Tabla Valoración controles'!$D$7:$D$8</xm:f>
          </x14:formula1>
          <xm:sqref>S10:S61</xm:sqref>
        </x14:dataValidation>
        <x14:dataValidation type="list" allowBlank="1" showInputMessage="1" showErrorMessage="1" xr:uid="{00000000-0002-0000-0100-000002000000}">
          <x14:formula1>
            <xm:f>'Tabla Valoración controles'!$D$9:$D$10</xm:f>
          </x14:formula1>
          <xm:sqref>U10:U61</xm:sqref>
        </x14:dataValidation>
        <x14:dataValidation type="list" allowBlank="1" showInputMessage="1" showErrorMessage="1" xr:uid="{00000000-0002-0000-0100-000003000000}">
          <x14:formula1>
            <xm:f>'Tabla Valoración controles'!$D$11:$D$12</xm:f>
          </x14:formula1>
          <xm:sqref>V10:V61</xm:sqref>
        </x14:dataValidation>
        <x14:dataValidation type="list" allowBlank="1" showInputMessage="1" showErrorMessage="1" xr:uid="{00000000-0002-0000-0100-000005000000}">
          <x14:formula1>
            <xm:f>'Tabla Valoración controles'!$D$13:$D$14</xm:f>
          </x14:formula1>
          <xm:sqref>W10:W61</xm:sqref>
        </x14:dataValidation>
        <x14:dataValidation type="list" allowBlank="1" showInputMessage="1" showErrorMessage="1" xr:uid="{00000000-0002-0000-0100-000006000000}">
          <x14:formula1>
            <xm:f>'Opciones Tratamiento'!$B$13:$B$19</xm:f>
          </x14:formula1>
          <xm:sqref>F10:F61</xm:sqref>
        </x14:dataValidation>
        <x14:dataValidation type="list" allowBlank="1" showInputMessage="1" showErrorMessage="1" xr:uid="{00000000-0002-0000-0100-000007000000}">
          <x14:formula1>
            <xm:f>'Opciones Tratamiento'!$E$2:$E$4</xm:f>
          </x14:formula1>
          <xm:sqref>B10:B61</xm:sqref>
        </x14:dataValidation>
        <x14:dataValidation type="list" allowBlank="1" showInputMessage="1" showErrorMessage="1" xr:uid="{00000000-0002-0000-0100-000008000000}">
          <x14:formula1>
            <xm:f>'Opciones Tratamiento'!$B$2:$B$5</xm:f>
          </x14:formula1>
          <xm:sqref>AD10:AD61</xm:sqref>
        </x14:dataValidation>
        <x14:dataValidation type="list" allowBlank="1" showInputMessage="1" showErrorMessage="1" xr:uid="{00000000-0002-0000-0100-000009000000}">
          <x14:formula1>
            <xm:f>'Tabla Impacto'!$F$210:$F$221</xm:f>
          </x14:formula1>
          <xm:sqref>J10:J61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M248"/>
  <sheetViews>
    <sheetView zoomScale="50" zoomScaleNormal="50" workbookViewId="0">
      <selection activeCell="AD39" sqref="AD3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298" t="s">
        <v>160</v>
      </c>
      <c r="C2" s="299"/>
      <c r="D2" s="299"/>
      <c r="E2" s="299"/>
      <c r="F2" s="299"/>
      <c r="G2" s="299"/>
      <c r="H2" s="299"/>
      <c r="I2" s="299"/>
      <c r="J2" s="300" t="s">
        <v>2</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299"/>
      <c r="C3" s="299"/>
      <c r="D3" s="299"/>
      <c r="E3" s="299"/>
      <c r="F3" s="299"/>
      <c r="G3" s="299"/>
      <c r="H3" s="299"/>
      <c r="I3" s="299"/>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299"/>
      <c r="C4" s="299"/>
      <c r="D4" s="299"/>
      <c r="E4" s="299"/>
      <c r="F4" s="299"/>
      <c r="G4" s="299"/>
      <c r="H4" s="299"/>
      <c r="I4" s="299"/>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301" t="s">
        <v>4</v>
      </c>
      <c r="C6" s="301"/>
      <c r="D6" s="302"/>
      <c r="E6" s="282" t="s">
        <v>116</v>
      </c>
      <c r="F6" s="283"/>
      <c r="G6" s="283"/>
      <c r="H6" s="283"/>
      <c r="I6" s="303"/>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89" t="s">
        <v>79</v>
      </c>
      <c r="AP6" s="290"/>
      <c r="AQ6" s="290"/>
      <c r="AR6" s="290"/>
      <c r="AS6" s="290"/>
      <c r="AT6" s="291"/>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301"/>
      <c r="C7" s="301"/>
      <c r="D7" s="302"/>
      <c r="E7" s="286"/>
      <c r="F7" s="285"/>
      <c r="G7" s="285"/>
      <c r="H7" s="285"/>
      <c r="I7" s="304"/>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292"/>
      <c r="AP7" s="293"/>
      <c r="AQ7" s="293"/>
      <c r="AR7" s="293"/>
      <c r="AS7" s="293"/>
      <c r="AT7" s="294"/>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301"/>
      <c r="C8" s="301"/>
      <c r="D8" s="302"/>
      <c r="E8" s="286"/>
      <c r="F8" s="285"/>
      <c r="G8" s="285"/>
      <c r="H8" s="285"/>
      <c r="I8" s="304"/>
      <c r="J8" s="49" t="str">
        <f>IF(AND('Mapa final'!$Y$22="Muy Alta",'Mapa final'!$AA$22="Leve"),CONCATENATE("R3C",'Mapa final'!$O$22),"")</f>
        <v/>
      </c>
      <c r="K8" s="50" t="e">
        <f>IF(AND('Mapa final'!#REF!="Muy Alta",'Mapa final'!#REF!="Leve"),CONCATENATE("R3C",'Mapa final'!#REF!),"")</f>
        <v>#REF!</v>
      </c>
      <c r="L8" s="50" t="str">
        <f>IF(AND('Mapa final'!$Y$23="Muy Alta",'Mapa final'!$AA$23="Leve"),CONCATENATE("R3C",'Mapa final'!$O$23),"")</f>
        <v/>
      </c>
      <c r="M8" s="50" t="str">
        <f>IF(AND('Mapa final'!$Y$24="Muy Alta",'Mapa final'!$AA$24="Leve"),CONCATENATE("R3C",'Mapa final'!$O$24),"")</f>
        <v/>
      </c>
      <c r="N8" s="50" t="str">
        <f>IF(AND('Mapa final'!$Y$25="Muy Alta",'Mapa final'!$AA$25="Leve"),CONCATENATE("R3C",'Mapa final'!$O$25),"")</f>
        <v/>
      </c>
      <c r="O8" s="51" t="str">
        <f>IF(AND('Mapa final'!$Y$26="Muy Alta",'Mapa final'!$AA$26="Leve"),CONCATENATE("R3C",'Mapa final'!$O$26),"")</f>
        <v/>
      </c>
      <c r="P8" s="49" t="str">
        <f>IF(AND('Mapa final'!$Y$22="Muy Alta",'Mapa final'!$AA$22="Menor"),CONCATENATE("R3C",'Mapa final'!$O$22),"")</f>
        <v/>
      </c>
      <c r="Q8" s="50" t="e">
        <f>IF(AND('Mapa final'!#REF!="Muy Alta",'Mapa final'!#REF!="Menor"),CONCATENATE("R3C",'Mapa final'!#REF!),"")</f>
        <v>#REF!</v>
      </c>
      <c r="R8" s="50" t="str">
        <f>IF(AND('Mapa final'!$Y$23="Muy Alta",'Mapa final'!$AA$23="Menor"),CONCATENATE("R3C",'Mapa final'!$O$23),"")</f>
        <v/>
      </c>
      <c r="S8" s="50" t="str">
        <f>IF(AND('Mapa final'!$Y$24="Muy Alta",'Mapa final'!$AA$24="Menor"),CONCATENATE("R3C",'Mapa final'!$O$24),"")</f>
        <v/>
      </c>
      <c r="T8" s="50" t="str">
        <f>IF(AND('Mapa final'!$Y$25="Muy Alta",'Mapa final'!$AA$25="Menor"),CONCATENATE("R3C",'Mapa final'!$O$25),"")</f>
        <v/>
      </c>
      <c r="U8" s="51" t="str">
        <f>IF(AND('Mapa final'!$Y$26="Muy Alta",'Mapa final'!$AA$26="Menor"),CONCATENATE("R3C",'Mapa final'!$O$26),"")</f>
        <v/>
      </c>
      <c r="V8" s="49" t="str">
        <f>IF(AND('Mapa final'!$Y$22="Muy Alta",'Mapa final'!$AA$22="Moderado"),CONCATENATE("R3C",'Mapa final'!$O$22),"")</f>
        <v/>
      </c>
      <c r="W8" s="50" t="e">
        <f>IF(AND('Mapa final'!#REF!="Muy Alta",'Mapa final'!#REF!="Moderado"),CONCATENATE("R3C",'Mapa final'!#REF!),"")</f>
        <v>#REF!</v>
      </c>
      <c r="X8" s="50" t="str">
        <f>IF(AND('Mapa final'!$Y$23="Muy Alta",'Mapa final'!$AA$23="Moderado"),CONCATENATE("R3C",'Mapa final'!$O$23),"")</f>
        <v/>
      </c>
      <c r="Y8" s="50" t="str">
        <f>IF(AND('Mapa final'!$Y$24="Muy Alta",'Mapa final'!$AA$24="Moderado"),CONCATENATE("R3C",'Mapa final'!$O$24),"")</f>
        <v/>
      </c>
      <c r="Z8" s="50" t="str">
        <f>IF(AND('Mapa final'!$Y$25="Muy Alta",'Mapa final'!$AA$25="Moderado"),CONCATENATE("R3C",'Mapa final'!$O$25),"")</f>
        <v/>
      </c>
      <c r="AA8" s="51" t="str">
        <f>IF(AND('Mapa final'!$Y$26="Muy Alta",'Mapa final'!$AA$26="Moderado"),CONCATENATE("R3C",'Mapa final'!$O$26),"")</f>
        <v/>
      </c>
      <c r="AB8" s="49" t="str">
        <f>IF(AND('Mapa final'!$Y$22="Muy Alta",'Mapa final'!$AA$22="Mayor"),CONCATENATE("R3C",'Mapa final'!$O$22),"")</f>
        <v/>
      </c>
      <c r="AC8" s="50" t="e">
        <f>IF(AND('Mapa final'!#REF!="Muy Alta",'Mapa final'!#REF!="Mayor"),CONCATENATE("R3C",'Mapa final'!#REF!),"")</f>
        <v>#REF!</v>
      </c>
      <c r="AD8" s="50" t="str">
        <f>IF(AND('Mapa final'!$Y$23="Muy Alta",'Mapa final'!$AA$23="Mayor"),CONCATENATE("R3C",'Mapa final'!$O$23),"")</f>
        <v/>
      </c>
      <c r="AE8" s="50" t="str">
        <f>IF(AND('Mapa final'!$Y$24="Muy Alta",'Mapa final'!$AA$24="Mayor"),CONCATENATE("R3C",'Mapa final'!$O$24),"")</f>
        <v/>
      </c>
      <c r="AF8" s="50" t="str">
        <f>IF(AND('Mapa final'!$Y$25="Muy Alta",'Mapa final'!$AA$25="Mayor"),CONCATENATE("R3C",'Mapa final'!$O$25),"")</f>
        <v/>
      </c>
      <c r="AG8" s="51" t="str">
        <f>IF(AND('Mapa final'!$Y$26="Muy Alta",'Mapa final'!$AA$26="Mayor"),CONCATENATE("R3C",'Mapa final'!$O$26),"")</f>
        <v/>
      </c>
      <c r="AH8" s="52" t="str">
        <f>IF(AND('Mapa final'!$Y$22="Muy Alta",'Mapa final'!$AA$22="Catastrófico"),CONCATENATE("R3C",'Mapa final'!$O$22),"")</f>
        <v/>
      </c>
      <c r="AI8" s="53" t="e">
        <f>IF(AND('Mapa final'!#REF!="Muy Alta",'Mapa final'!#REF!="Catastrófico"),CONCATENATE("R3C",'Mapa final'!#REF!),"")</f>
        <v>#REF!</v>
      </c>
      <c r="AJ8" s="53" t="str">
        <f>IF(AND('Mapa final'!$Y$23="Muy Alta",'Mapa final'!$AA$23="Catastrófico"),CONCATENATE("R3C",'Mapa final'!$O$23),"")</f>
        <v/>
      </c>
      <c r="AK8" s="53" t="str">
        <f>IF(AND('Mapa final'!$Y$24="Muy Alta",'Mapa final'!$AA$24="Catastrófico"),CONCATENATE("R3C",'Mapa final'!$O$24),"")</f>
        <v/>
      </c>
      <c r="AL8" s="53" t="str">
        <f>IF(AND('Mapa final'!$Y$25="Muy Alta",'Mapa final'!$AA$25="Catastrófico"),CONCATENATE("R3C",'Mapa final'!$O$25),"")</f>
        <v/>
      </c>
      <c r="AM8" s="54" t="str">
        <f>IF(AND('Mapa final'!$Y$26="Muy Alta",'Mapa final'!$AA$26="Catastrófico"),CONCATENATE("R3C",'Mapa final'!$O$26),"")</f>
        <v/>
      </c>
      <c r="AN8" s="80"/>
      <c r="AO8" s="292"/>
      <c r="AP8" s="293"/>
      <c r="AQ8" s="293"/>
      <c r="AR8" s="293"/>
      <c r="AS8" s="293"/>
      <c r="AT8" s="294"/>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301"/>
      <c r="C9" s="301"/>
      <c r="D9" s="302"/>
      <c r="E9" s="286"/>
      <c r="F9" s="285"/>
      <c r="G9" s="285"/>
      <c r="H9" s="285"/>
      <c r="I9" s="304"/>
      <c r="J9" s="49" t="str">
        <f>IF(AND('Mapa final'!$Y$27="Muy Alta",'Mapa final'!$AA$27="Leve"),CONCATENATE("R4C",'Mapa final'!$O$27),"")</f>
        <v/>
      </c>
      <c r="K9" s="50" t="e">
        <f>IF(AND('Mapa final'!#REF!="Muy Alta",'Mapa final'!#REF!="Leve"),CONCATENATE("R4C",'Mapa final'!#REF!),"")</f>
        <v>#REF!</v>
      </c>
      <c r="L9" s="50" t="str">
        <f>IF(AND('Mapa final'!$Y$28="Muy Alta",'Mapa final'!$AA$28="Leve"),CONCATENATE("R4C",'Mapa final'!$O$28),"")</f>
        <v/>
      </c>
      <c r="M9" s="50" t="str">
        <f>IF(AND('Mapa final'!$Y$29="Muy Alta",'Mapa final'!$AA$29="Leve"),CONCATENATE("R4C",'Mapa final'!$O$29),"")</f>
        <v/>
      </c>
      <c r="N9" s="50" t="str">
        <f>IF(AND('Mapa final'!$Y$30="Muy Alta",'Mapa final'!$AA$30="Leve"),CONCATENATE("R4C",'Mapa final'!$O$30),"")</f>
        <v/>
      </c>
      <c r="O9" s="51" t="str">
        <f>IF(AND('Mapa final'!$Y$31="Muy Alta",'Mapa final'!$AA$31="Leve"),CONCATENATE("R4C",'Mapa final'!$O$31),"")</f>
        <v/>
      </c>
      <c r="P9" s="49" t="str">
        <f>IF(AND('Mapa final'!$Y$27="Muy Alta",'Mapa final'!$AA$27="Menor"),CONCATENATE("R4C",'Mapa final'!$O$27),"")</f>
        <v/>
      </c>
      <c r="Q9" s="50" t="e">
        <f>IF(AND('Mapa final'!#REF!="Muy Alta",'Mapa final'!#REF!="Menor"),CONCATENATE("R4C",'Mapa final'!#REF!),"")</f>
        <v>#REF!</v>
      </c>
      <c r="R9" s="50" t="str">
        <f>IF(AND('Mapa final'!$Y$28="Muy Alta",'Mapa final'!$AA$28="Menor"),CONCATENATE("R4C",'Mapa final'!$O$28),"")</f>
        <v/>
      </c>
      <c r="S9" s="50" t="str">
        <f>IF(AND('Mapa final'!$Y$29="Muy Alta",'Mapa final'!$AA$29="Menor"),CONCATENATE("R4C",'Mapa final'!$O$29),"")</f>
        <v/>
      </c>
      <c r="T9" s="50" t="str">
        <f>IF(AND('Mapa final'!$Y$30="Muy Alta",'Mapa final'!$AA$30="Menor"),CONCATENATE("R4C",'Mapa final'!$O$30),"")</f>
        <v/>
      </c>
      <c r="U9" s="51" t="str">
        <f>IF(AND('Mapa final'!$Y$31="Muy Alta",'Mapa final'!$AA$31="Menor"),CONCATENATE("R4C",'Mapa final'!$O$31),"")</f>
        <v/>
      </c>
      <c r="V9" s="49" t="str">
        <f>IF(AND('Mapa final'!$Y$27="Muy Alta",'Mapa final'!$AA$27="Moderado"),CONCATENATE("R4C",'Mapa final'!$O$27),"")</f>
        <v/>
      </c>
      <c r="W9" s="50" t="e">
        <f>IF(AND('Mapa final'!#REF!="Muy Alta",'Mapa final'!#REF!="Moderado"),CONCATENATE("R4C",'Mapa final'!#REF!),"")</f>
        <v>#REF!</v>
      </c>
      <c r="X9" s="50" t="str">
        <f>IF(AND('Mapa final'!$Y$28="Muy Alta",'Mapa final'!$AA$28="Moderado"),CONCATENATE("R4C",'Mapa final'!$O$28),"")</f>
        <v/>
      </c>
      <c r="Y9" s="50" t="str">
        <f>IF(AND('Mapa final'!$Y$29="Muy Alta",'Mapa final'!$AA$29="Moderado"),CONCATENATE("R4C",'Mapa final'!$O$29),"")</f>
        <v/>
      </c>
      <c r="Z9" s="50" t="str">
        <f>IF(AND('Mapa final'!$Y$30="Muy Alta",'Mapa final'!$AA$30="Moderado"),CONCATENATE("R4C",'Mapa final'!$O$30),"")</f>
        <v/>
      </c>
      <c r="AA9" s="51" t="str">
        <f>IF(AND('Mapa final'!$Y$31="Muy Alta",'Mapa final'!$AA$31="Moderado"),CONCATENATE("R4C",'Mapa final'!$O$31),"")</f>
        <v/>
      </c>
      <c r="AB9" s="49" t="str">
        <f>IF(AND('Mapa final'!$Y$27="Muy Alta",'Mapa final'!$AA$27="Mayor"),CONCATENATE("R4C",'Mapa final'!$O$27),"")</f>
        <v/>
      </c>
      <c r="AC9" s="50" t="e">
        <f>IF(AND('Mapa final'!#REF!="Muy Alta",'Mapa final'!#REF!="Mayor"),CONCATENATE("R4C",'Mapa final'!#REF!),"")</f>
        <v>#REF!</v>
      </c>
      <c r="AD9" s="50" t="str">
        <f>IF(AND('Mapa final'!$Y$28="Muy Alta",'Mapa final'!$AA$28="Mayor"),CONCATENATE("R4C",'Mapa final'!$O$28),"")</f>
        <v/>
      </c>
      <c r="AE9" s="50" t="str">
        <f>IF(AND('Mapa final'!$Y$29="Muy Alta",'Mapa final'!$AA$29="Mayor"),CONCATENATE("R4C",'Mapa final'!$O$29),"")</f>
        <v/>
      </c>
      <c r="AF9" s="50" t="str">
        <f>IF(AND('Mapa final'!$Y$30="Muy Alta",'Mapa final'!$AA$30="Mayor"),CONCATENATE("R4C",'Mapa final'!$O$30),"")</f>
        <v/>
      </c>
      <c r="AG9" s="51" t="str">
        <f>IF(AND('Mapa final'!$Y$31="Muy Alta",'Mapa final'!$AA$31="Mayor"),CONCATENATE("R4C",'Mapa final'!$O$31),"")</f>
        <v/>
      </c>
      <c r="AH9" s="52" t="str">
        <f>IF(AND('Mapa final'!$Y$27="Muy Alta",'Mapa final'!$AA$27="Catastrófico"),CONCATENATE("R4C",'Mapa final'!$O$27),"")</f>
        <v/>
      </c>
      <c r="AI9" s="53" t="e">
        <f>IF(AND('Mapa final'!#REF!="Muy Alta",'Mapa final'!#REF!="Catastrófico"),CONCATENATE("R4C",'Mapa final'!#REF!),"")</f>
        <v>#REF!</v>
      </c>
      <c r="AJ9" s="53" t="str">
        <f>IF(AND('Mapa final'!$Y$28="Muy Alta",'Mapa final'!$AA$28="Catastrófico"),CONCATENATE("R4C",'Mapa final'!$O$28),"")</f>
        <v/>
      </c>
      <c r="AK9" s="53" t="str">
        <f>IF(AND('Mapa final'!$Y$29="Muy Alta",'Mapa final'!$AA$29="Catastrófico"),CONCATENATE("R4C",'Mapa final'!$O$29),"")</f>
        <v/>
      </c>
      <c r="AL9" s="53" t="str">
        <f>IF(AND('Mapa final'!$Y$30="Muy Alta",'Mapa final'!$AA$30="Catastrófico"),CONCATENATE("R4C",'Mapa final'!$O$30),"")</f>
        <v/>
      </c>
      <c r="AM9" s="54" t="str">
        <f>IF(AND('Mapa final'!$Y$31="Muy Alta",'Mapa final'!$AA$31="Catastrófico"),CONCATENATE("R4C",'Mapa final'!$O$31),"")</f>
        <v/>
      </c>
      <c r="AN9" s="80"/>
      <c r="AO9" s="292"/>
      <c r="AP9" s="293"/>
      <c r="AQ9" s="293"/>
      <c r="AR9" s="293"/>
      <c r="AS9" s="293"/>
      <c r="AT9" s="294"/>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301"/>
      <c r="C10" s="301"/>
      <c r="D10" s="302"/>
      <c r="E10" s="286"/>
      <c r="F10" s="285"/>
      <c r="G10" s="285"/>
      <c r="H10" s="285"/>
      <c r="I10" s="304"/>
      <c r="J10" s="49" t="str">
        <f>IF(AND('Mapa final'!$Y$32="Muy Alta",'Mapa final'!$AA$32="Leve"),CONCATENATE("R5C",'Mapa final'!$O$32),"")</f>
        <v/>
      </c>
      <c r="K10" s="50" t="str">
        <f>IF(AND('Mapa final'!$Y$33="Muy Alta",'Mapa final'!$AA$33="Leve"),CONCATENATE("R5C",'Mapa final'!$O$33),"")</f>
        <v/>
      </c>
      <c r="L10" s="50" t="str">
        <f>IF(AND('Mapa final'!$Y$34="Muy Alta",'Mapa final'!$AA$34="Leve"),CONCATENATE("R5C",'Mapa final'!$O$34),"")</f>
        <v/>
      </c>
      <c r="M10" s="50" t="str">
        <f>IF(AND('Mapa final'!$Y$35="Muy Alta",'Mapa final'!$AA$35="Leve"),CONCATENATE("R5C",'Mapa final'!$O$35),"")</f>
        <v/>
      </c>
      <c r="N10" s="50" t="str">
        <f>IF(AND('Mapa final'!$Y$36="Muy Alta",'Mapa final'!$AA$36="Leve"),CONCATENATE("R5C",'Mapa final'!$O$36),"")</f>
        <v/>
      </c>
      <c r="O10" s="51" t="str">
        <f>IF(AND('Mapa final'!$Y$37="Muy Alta",'Mapa final'!$AA$37="Leve"),CONCATENATE("R5C",'Mapa final'!$O$37),"")</f>
        <v/>
      </c>
      <c r="P10" s="49" t="str">
        <f>IF(AND('Mapa final'!$Y$32="Muy Alta",'Mapa final'!$AA$32="Menor"),CONCATENATE("R5C",'Mapa final'!$O$32),"")</f>
        <v/>
      </c>
      <c r="Q10" s="50" t="str">
        <f>IF(AND('Mapa final'!$Y$33="Muy Alta",'Mapa final'!$AA$33="Menor"),CONCATENATE("R5C",'Mapa final'!$O$33),"")</f>
        <v/>
      </c>
      <c r="R10" s="50" t="str">
        <f>IF(AND('Mapa final'!$Y$34="Muy Alta",'Mapa final'!$AA$34="Menor"),CONCATENATE("R5C",'Mapa final'!$O$34),"")</f>
        <v/>
      </c>
      <c r="S10" s="50" t="str">
        <f>IF(AND('Mapa final'!$Y$35="Muy Alta",'Mapa final'!$AA$35="Menor"),CONCATENATE("R5C",'Mapa final'!$O$35),"")</f>
        <v/>
      </c>
      <c r="T10" s="50" t="str">
        <f>IF(AND('Mapa final'!$Y$36="Muy Alta",'Mapa final'!$AA$36="Menor"),CONCATENATE("R5C",'Mapa final'!$O$36),"")</f>
        <v/>
      </c>
      <c r="U10" s="51" t="str">
        <f>IF(AND('Mapa final'!$Y$37="Muy Alta",'Mapa final'!$AA$37="Menor"),CONCATENATE("R5C",'Mapa final'!$O$37),"")</f>
        <v/>
      </c>
      <c r="V10" s="49" t="str">
        <f>IF(AND('Mapa final'!$Y$32="Muy Alta",'Mapa final'!$AA$32="Moderado"),CONCATENATE("R5C",'Mapa final'!$O$32),"")</f>
        <v/>
      </c>
      <c r="W10" s="50" t="str">
        <f>IF(AND('Mapa final'!$Y$33="Muy Alta",'Mapa final'!$AA$33="Moderado"),CONCATENATE("R5C",'Mapa final'!$O$33),"")</f>
        <v/>
      </c>
      <c r="X10" s="50" t="str">
        <f>IF(AND('Mapa final'!$Y$34="Muy Alta",'Mapa final'!$AA$34="Moderado"),CONCATENATE("R5C",'Mapa final'!$O$34),"")</f>
        <v/>
      </c>
      <c r="Y10" s="50" t="str">
        <f>IF(AND('Mapa final'!$Y$35="Muy Alta",'Mapa final'!$AA$35="Moderado"),CONCATENATE("R5C",'Mapa final'!$O$35),"")</f>
        <v/>
      </c>
      <c r="Z10" s="50" t="str">
        <f>IF(AND('Mapa final'!$Y$36="Muy Alta",'Mapa final'!$AA$36="Moderado"),CONCATENATE("R5C",'Mapa final'!$O$36),"")</f>
        <v/>
      </c>
      <c r="AA10" s="51" t="str">
        <f>IF(AND('Mapa final'!$Y$37="Muy Alta",'Mapa final'!$AA$37="Moderado"),CONCATENATE("R5C",'Mapa final'!$O$37),"")</f>
        <v/>
      </c>
      <c r="AB10" s="49" t="str">
        <f>IF(AND('Mapa final'!$Y$32="Muy Alta",'Mapa final'!$AA$32="Mayor"),CONCATENATE("R5C",'Mapa final'!$O$32),"")</f>
        <v/>
      </c>
      <c r="AC10" s="50" t="str">
        <f>IF(AND('Mapa final'!$Y$33="Muy Alta",'Mapa final'!$AA$33="Mayor"),CONCATENATE("R5C",'Mapa final'!$O$33),"")</f>
        <v/>
      </c>
      <c r="AD10" s="50" t="str">
        <f>IF(AND('Mapa final'!$Y$34="Muy Alta",'Mapa final'!$AA$34="Mayor"),CONCATENATE("R5C",'Mapa final'!$O$34),"")</f>
        <v/>
      </c>
      <c r="AE10" s="50" t="str">
        <f>IF(AND('Mapa final'!$Y$35="Muy Alta",'Mapa final'!$AA$35="Mayor"),CONCATENATE("R5C",'Mapa final'!$O$35),"")</f>
        <v/>
      </c>
      <c r="AF10" s="50" t="str">
        <f>IF(AND('Mapa final'!$Y$36="Muy Alta",'Mapa final'!$AA$36="Mayor"),CONCATENATE("R5C",'Mapa final'!$O$36),"")</f>
        <v/>
      </c>
      <c r="AG10" s="51" t="str">
        <f>IF(AND('Mapa final'!$Y$37="Muy Alta",'Mapa final'!$AA$37="Mayor"),CONCATENATE("R5C",'Mapa final'!$O$37),"")</f>
        <v/>
      </c>
      <c r="AH10" s="52" t="str">
        <f>IF(AND('Mapa final'!$Y$32="Muy Alta",'Mapa final'!$AA$32="Catastrófico"),CONCATENATE("R5C",'Mapa final'!$O$32),"")</f>
        <v/>
      </c>
      <c r="AI10" s="53" t="str">
        <f>IF(AND('Mapa final'!$Y$33="Muy Alta",'Mapa final'!$AA$33="Catastrófico"),CONCATENATE("R5C",'Mapa final'!$O$33),"")</f>
        <v/>
      </c>
      <c r="AJ10" s="53" t="str">
        <f>IF(AND('Mapa final'!$Y$34="Muy Alta",'Mapa final'!$AA$34="Catastrófico"),CONCATENATE("R5C",'Mapa final'!$O$34),"")</f>
        <v/>
      </c>
      <c r="AK10" s="53" t="str">
        <f>IF(AND('Mapa final'!$Y$35="Muy Alta",'Mapa final'!$AA$35="Catastrófico"),CONCATENATE("R5C",'Mapa final'!$O$35),"")</f>
        <v/>
      </c>
      <c r="AL10" s="53" t="str">
        <f>IF(AND('Mapa final'!$Y$36="Muy Alta",'Mapa final'!$AA$36="Catastrófico"),CONCATENATE("R5C",'Mapa final'!$O$36),"")</f>
        <v/>
      </c>
      <c r="AM10" s="54" t="str">
        <f>IF(AND('Mapa final'!$Y$37="Muy Alta",'Mapa final'!$AA$37="Catastrófico"),CONCATENATE("R5C",'Mapa final'!$O$37),"")</f>
        <v/>
      </c>
      <c r="AN10" s="80"/>
      <c r="AO10" s="292"/>
      <c r="AP10" s="293"/>
      <c r="AQ10" s="293"/>
      <c r="AR10" s="293"/>
      <c r="AS10" s="293"/>
      <c r="AT10" s="294"/>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301"/>
      <c r="C11" s="301"/>
      <c r="D11" s="302"/>
      <c r="E11" s="286"/>
      <c r="F11" s="285"/>
      <c r="G11" s="285"/>
      <c r="H11" s="285"/>
      <c r="I11" s="304"/>
      <c r="J11" s="49" t="e">
        <f>IF(AND('Mapa final'!#REF!="Muy Alta",'Mapa final'!#REF!="Leve"),CONCATENATE("R6C",'Mapa final'!#REF!),"")</f>
        <v>#REF!</v>
      </c>
      <c r="K11" s="50" t="e">
        <f>IF(AND('Mapa final'!#REF!="Muy Alta",'Mapa final'!#REF!="Leve"),CONCATENATE("R6C",'Mapa final'!#REF!),"")</f>
        <v>#REF!</v>
      </c>
      <c r="L11" s="50" t="e">
        <f>IF(AND('Mapa final'!#REF!="Muy Alta",'Mapa final'!#REF!="Leve"),CONCATENATE("R6C",'Mapa final'!#REF!),"")</f>
        <v>#REF!</v>
      </c>
      <c r="M11" s="50" t="e">
        <f>IF(AND('Mapa final'!#REF!="Muy Alta",'Mapa final'!#REF!="Leve"),CONCATENATE("R6C",'Mapa final'!#REF!),"")</f>
        <v>#REF!</v>
      </c>
      <c r="N11" s="50" t="e">
        <f>IF(AND('Mapa final'!#REF!="Muy Alta",'Mapa final'!#REF!="Leve"),CONCATENATE("R6C",'Mapa final'!#REF!),"")</f>
        <v>#REF!</v>
      </c>
      <c r="O11" s="51" t="e">
        <f>IF(AND('Mapa final'!#REF!="Muy Alta",'Mapa final'!#REF!="Leve"),CONCATENATE("R6C",'Mapa final'!#REF!),"")</f>
        <v>#REF!</v>
      </c>
      <c r="P11" s="49" t="e">
        <f>IF(AND('Mapa final'!#REF!="Muy Alta",'Mapa final'!#REF!="Menor"),CONCATENATE("R6C",'Mapa final'!#REF!),"")</f>
        <v>#REF!</v>
      </c>
      <c r="Q11" s="50" t="e">
        <f>IF(AND('Mapa final'!#REF!="Muy Alta",'Mapa final'!#REF!="Menor"),CONCATENATE("R6C",'Mapa final'!#REF!),"")</f>
        <v>#REF!</v>
      </c>
      <c r="R11" s="50" t="e">
        <f>IF(AND('Mapa final'!#REF!="Muy Alta",'Mapa final'!#REF!="Menor"),CONCATENATE("R6C",'Mapa final'!#REF!),"")</f>
        <v>#REF!</v>
      </c>
      <c r="S11" s="50" t="e">
        <f>IF(AND('Mapa final'!#REF!="Muy Alta",'Mapa final'!#REF!="Menor"),CONCATENATE("R6C",'Mapa final'!#REF!),"")</f>
        <v>#REF!</v>
      </c>
      <c r="T11" s="50" t="e">
        <f>IF(AND('Mapa final'!#REF!="Muy Alta",'Mapa final'!#REF!="Menor"),CONCATENATE("R6C",'Mapa final'!#REF!),"")</f>
        <v>#REF!</v>
      </c>
      <c r="U11" s="51" t="e">
        <f>IF(AND('Mapa final'!#REF!="Muy Alta",'Mapa final'!#REF!="Menor"),CONCATENATE("R6C",'Mapa final'!#REF!),"")</f>
        <v>#REF!</v>
      </c>
      <c r="V11" s="49" t="e">
        <f>IF(AND('Mapa final'!#REF!="Muy Alta",'Mapa final'!#REF!="Moderado"),CONCATENATE("R6C",'Mapa final'!#REF!),"")</f>
        <v>#REF!</v>
      </c>
      <c r="W11" s="50" t="e">
        <f>IF(AND('Mapa final'!#REF!="Muy Alta",'Mapa final'!#REF!="Moderado"),CONCATENATE("R6C",'Mapa final'!#REF!),"")</f>
        <v>#REF!</v>
      </c>
      <c r="X11" s="50" t="e">
        <f>IF(AND('Mapa final'!#REF!="Muy Alta",'Mapa final'!#REF!="Moderado"),CONCATENATE("R6C",'Mapa final'!#REF!),"")</f>
        <v>#REF!</v>
      </c>
      <c r="Y11" s="50" t="e">
        <f>IF(AND('Mapa final'!#REF!="Muy Alta",'Mapa final'!#REF!="Moderado"),CONCATENATE("R6C",'Mapa final'!#REF!),"")</f>
        <v>#REF!</v>
      </c>
      <c r="Z11" s="50" t="e">
        <f>IF(AND('Mapa final'!#REF!="Muy Alta",'Mapa final'!#REF!="Moderado"),CONCATENATE("R6C",'Mapa final'!#REF!),"")</f>
        <v>#REF!</v>
      </c>
      <c r="AA11" s="51" t="e">
        <f>IF(AND('Mapa final'!#REF!="Muy Alta",'Mapa final'!#REF!="Moderado"),CONCATENATE("R6C",'Mapa final'!#REF!),"")</f>
        <v>#REF!</v>
      </c>
      <c r="AB11" s="49" t="e">
        <f>IF(AND('Mapa final'!#REF!="Muy Alta",'Mapa final'!#REF!="Mayor"),CONCATENATE("R6C",'Mapa final'!#REF!),"")</f>
        <v>#REF!</v>
      </c>
      <c r="AC11" s="50" t="e">
        <f>IF(AND('Mapa final'!#REF!="Muy Alta",'Mapa final'!#REF!="Mayor"),CONCATENATE("R6C",'Mapa final'!#REF!),"")</f>
        <v>#REF!</v>
      </c>
      <c r="AD11" s="50" t="e">
        <f>IF(AND('Mapa final'!#REF!="Muy Alta",'Mapa final'!#REF!="Mayor"),CONCATENATE("R6C",'Mapa final'!#REF!),"")</f>
        <v>#REF!</v>
      </c>
      <c r="AE11" s="50" t="e">
        <f>IF(AND('Mapa final'!#REF!="Muy Alta",'Mapa final'!#REF!="Mayor"),CONCATENATE("R6C",'Mapa final'!#REF!),"")</f>
        <v>#REF!</v>
      </c>
      <c r="AF11" s="50" t="e">
        <f>IF(AND('Mapa final'!#REF!="Muy Alta",'Mapa final'!#REF!="Mayor"),CONCATENATE("R6C",'Mapa final'!#REF!),"")</f>
        <v>#REF!</v>
      </c>
      <c r="AG11" s="51" t="e">
        <f>IF(AND('Mapa final'!#REF!="Muy Alta",'Mapa final'!#REF!="Mayor"),CONCATENATE("R6C",'Mapa final'!#REF!),"")</f>
        <v>#REF!</v>
      </c>
      <c r="AH11" s="52" t="e">
        <f>IF(AND('Mapa final'!#REF!="Muy Alta",'Mapa final'!#REF!="Catastrófico"),CONCATENATE("R6C",'Mapa final'!#REF!),"")</f>
        <v>#REF!</v>
      </c>
      <c r="AI11" s="53" t="e">
        <f>IF(AND('Mapa final'!#REF!="Muy Alta",'Mapa final'!#REF!="Catastrófico"),CONCATENATE("R6C",'Mapa final'!#REF!),"")</f>
        <v>#REF!</v>
      </c>
      <c r="AJ11" s="53" t="e">
        <f>IF(AND('Mapa final'!#REF!="Muy Alta",'Mapa final'!#REF!="Catastrófico"),CONCATENATE("R6C",'Mapa final'!#REF!),"")</f>
        <v>#REF!</v>
      </c>
      <c r="AK11" s="53" t="e">
        <f>IF(AND('Mapa final'!#REF!="Muy Alta",'Mapa final'!#REF!="Catastrófico"),CONCATENATE("R6C",'Mapa final'!#REF!),"")</f>
        <v>#REF!</v>
      </c>
      <c r="AL11" s="53" t="e">
        <f>IF(AND('Mapa final'!#REF!="Muy Alta",'Mapa final'!#REF!="Catastrófico"),CONCATENATE("R6C",'Mapa final'!#REF!),"")</f>
        <v>#REF!</v>
      </c>
      <c r="AM11" s="54" t="e">
        <f>IF(AND('Mapa final'!#REF!="Muy Alta",'Mapa final'!#REF!="Catastrófico"),CONCATENATE("R6C",'Mapa final'!#REF!),"")</f>
        <v>#REF!</v>
      </c>
      <c r="AN11" s="80"/>
      <c r="AO11" s="292"/>
      <c r="AP11" s="293"/>
      <c r="AQ11" s="293"/>
      <c r="AR11" s="293"/>
      <c r="AS11" s="293"/>
      <c r="AT11" s="294"/>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301"/>
      <c r="C12" s="301"/>
      <c r="D12" s="302"/>
      <c r="E12" s="286"/>
      <c r="F12" s="285"/>
      <c r="G12" s="285"/>
      <c r="H12" s="285"/>
      <c r="I12" s="304"/>
      <c r="J12" s="49" t="str">
        <f>IF(AND('Mapa final'!$Y$38="Muy Alta",'Mapa final'!$AA$38="Leve"),CONCATENATE("R7C",'Mapa final'!$O$38),"")</f>
        <v/>
      </c>
      <c r="K12" s="50" t="str">
        <f>IF(AND('Mapa final'!$Y$39="Muy Alta",'Mapa final'!$AA$39="Leve"),CONCATENATE("R7C",'Mapa final'!$O$39),"")</f>
        <v/>
      </c>
      <c r="L12" s="50" t="str">
        <f>IF(AND('Mapa final'!$Y$40="Muy Alta",'Mapa final'!$AA$40="Leve"),CONCATENATE("R7C",'Mapa final'!$O$40),"")</f>
        <v/>
      </c>
      <c r="M12" s="50" t="str">
        <f>IF(AND('Mapa final'!$Y$41="Muy Alta",'Mapa final'!$AA$41="Leve"),CONCATENATE("R7C",'Mapa final'!$O$41),"")</f>
        <v/>
      </c>
      <c r="N12" s="50" t="str">
        <f>IF(AND('Mapa final'!$Y$42="Muy Alta",'Mapa final'!$AA$42="Leve"),CONCATENATE("R7C",'Mapa final'!$O$42),"")</f>
        <v/>
      </c>
      <c r="O12" s="51" t="str">
        <f>IF(AND('Mapa final'!$Y$43="Muy Alta",'Mapa final'!$AA$43="Leve"),CONCATENATE("R7C",'Mapa final'!$O$43),"")</f>
        <v/>
      </c>
      <c r="P12" s="49" t="str">
        <f>IF(AND('Mapa final'!$Y$38="Muy Alta",'Mapa final'!$AA$38="Menor"),CONCATENATE("R7C",'Mapa final'!$O$38),"")</f>
        <v/>
      </c>
      <c r="Q12" s="50" t="str">
        <f>IF(AND('Mapa final'!$Y$39="Muy Alta",'Mapa final'!$AA$39="Menor"),CONCATENATE("R7C",'Mapa final'!$O$39),"")</f>
        <v/>
      </c>
      <c r="R12" s="50" t="str">
        <f>IF(AND('Mapa final'!$Y$40="Muy Alta",'Mapa final'!$AA$40="Menor"),CONCATENATE("R7C",'Mapa final'!$O$40),"")</f>
        <v/>
      </c>
      <c r="S12" s="50" t="str">
        <f>IF(AND('Mapa final'!$Y$41="Muy Alta",'Mapa final'!$AA$41="Menor"),CONCATENATE("R7C",'Mapa final'!$O$41),"")</f>
        <v/>
      </c>
      <c r="T12" s="50" t="str">
        <f>IF(AND('Mapa final'!$Y$42="Muy Alta",'Mapa final'!$AA$42="Menor"),CONCATENATE("R7C",'Mapa final'!$O$42),"")</f>
        <v/>
      </c>
      <c r="U12" s="51" t="str">
        <f>IF(AND('Mapa final'!$Y$43="Muy Alta",'Mapa final'!$AA$43="Menor"),CONCATENATE("R7C",'Mapa final'!$O$43),"")</f>
        <v/>
      </c>
      <c r="V12" s="49" t="str">
        <f>IF(AND('Mapa final'!$Y$38="Muy Alta",'Mapa final'!$AA$38="Moderado"),CONCATENATE("R7C",'Mapa final'!$O$38),"")</f>
        <v/>
      </c>
      <c r="W12" s="50" t="str">
        <f>IF(AND('Mapa final'!$Y$39="Muy Alta",'Mapa final'!$AA$39="Moderado"),CONCATENATE("R7C",'Mapa final'!$O$39),"")</f>
        <v/>
      </c>
      <c r="X12" s="50" t="str">
        <f>IF(AND('Mapa final'!$Y$40="Muy Alta",'Mapa final'!$AA$40="Moderado"),CONCATENATE("R7C",'Mapa final'!$O$40),"")</f>
        <v/>
      </c>
      <c r="Y12" s="50" t="str">
        <f>IF(AND('Mapa final'!$Y$41="Muy Alta",'Mapa final'!$AA$41="Moderado"),CONCATENATE("R7C",'Mapa final'!$O$41),"")</f>
        <v/>
      </c>
      <c r="Z12" s="50" t="str">
        <f>IF(AND('Mapa final'!$Y$42="Muy Alta",'Mapa final'!$AA$42="Moderado"),CONCATENATE("R7C",'Mapa final'!$O$42),"")</f>
        <v/>
      </c>
      <c r="AA12" s="51" t="str">
        <f>IF(AND('Mapa final'!$Y$43="Muy Alta",'Mapa final'!$AA$43="Moderado"),CONCATENATE("R7C",'Mapa final'!$O$43),"")</f>
        <v/>
      </c>
      <c r="AB12" s="49" t="str">
        <f>IF(AND('Mapa final'!$Y$38="Muy Alta",'Mapa final'!$AA$38="Mayor"),CONCATENATE("R7C",'Mapa final'!$O$38),"")</f>
        <v/>
      </c>
      <c r="AC12" s="50" t="str">
        <f>IF(AND('Mapa final'!$Y$39="Muy Alta",'Mapa final'!$AA$39="Mayor"),CONCATENATE("R7C",'Mapa final'!$O$39),"")</f>
        <v/>
      </c>
      <c r="AD12" s="50" t="str">
        <f>IF(AND('Mapa final'!$Y$40="Muy Alta",'Mapa final'!$AA$40="Mayor"),CONCATENATE("R7C",'Mapa final'!$O$40),"")</f>
        <v/>
      </c>
      <c r="AE12" s="50" t="str">
        <f>IF(AND('Mapa final'!$Y$41="Muy Alta",'Mapa final'!$AA$41="Mayor"),CONCATENATE("R7C",'Mapa final'!$O$41),"")</f>
        <v/>
      </c>
      <c r="AF12" s="50" t="str">
        <f>IF(AND('Mapa final'!$Y$42="Muy Alta",'Mapa final'!$AA$42="Mayor"),CONCATENATE("R7C",'Mapa final'!$O$42),"")</f>
        <v/>
      </c>
      <c r="AG12" s="51" t="str">
        <f>IF(AND('Mapa final'!$Y$43="Muy Alta",'Mapa final'!$AA$43="Mayor"),CONCATENATE("R7C",'Mapa final'!$O$43),"")</f>
        <v/>
      </c>
      <c r="AH12" s="52" t="str">
        <f>IF(AND('Mapa final'!$Y$38="Muy Alta",'Mapa final'!$AA$38="Catastrófico"),CONCATENATE("R7C",'Mapa final'!$O$38),"")</f>
        <v/>
      </c>
      <c r="AI12" s="53" t="str">
        <f>IF(AND('Mapa final'!$Y$39="Muy Alta",'Mapa final'!$AA$39="Catastrófico"),CONCATENATE("R7C",'Mapa final'!$O$39),"")</f>
        <v/>
      </c>
      <c r="AJ12" s="53" t="str">
        <f>IF(AND('Mapa final'!$Y$40="Muy Alta",'Mapa final'!$AA$40="Catastrófico"),CONCATENATE("R7C",'Mapa final'!$O$40),"")</f>
        <v/>
      </c>
      <c r="AK12" s="53" t="str">
        <f>IF(AND('Mapa final'!$Y$41="Muy Alta",'Mapa final'!$AA$41="Catastrófico"),CONCATENATE("R7C",'Mapa final'!$O$41),"")</f>
        <v/>
      </c>
      <c r="AL12" s="53" t="str">
        <f>IF(AND('Mapa final'!$Y$42="Muy Alta",'Mapa final'!$AA$42="Catastrófico"),CONCATENATE("R7C",'Mapa final'!$O$42),"")</f>
        <v/>
      </c>
      <c r="AM12" s="54" t="str">
        <f>IF(AND('Mapa final'!$Y$43="Muy Alta",'Mapa final'!$AA$43="Catastrófico"),CONCATENATE("R7C",'Mapa final'!$O$43),"")</f>
        <v/>
      </c>
      <c r="AN12" s="80"/>
      <c r="AO12" s="292"/>
      <c r="AP12" s="293"/>
      <c r="AQ12" s="293"/>
      <c r="AR12" s="293"/>
      <c r="AS12" s="293"/>
      <c r="AT12" s="294"/>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301"/>
      <c r="C13" s="301"/>
      <c r="D13" s="302"/>
      <c r="E13" s="286"/>
      <c r="F13" s="285"/>
      <c r="G13" s="285"/>
      <c r="H13" s="285"/>
      <c r="I13" s="304"/>
      <c r="J13" s="49" t="str">
        <f>IF(AND('Mapa final'!$Y$44="Muy Alta",'Mapa final'!$AA$44="Leve"),CONCATENATE("R8C",'Mapa final'!$O$44),"")</f>
        <v/>
      </c>
      <c r="K13" s="50" t="str">
        <f>IF(AND('Mapa final'!$Y$45="Muy Alta",'Mapa final'!$AA$45="Leve"),CONCATENATE("R8C",'Mapa final'!$O$45),"")</f>
        <v/>
      </c>
      <c r="L13" s="50" t="str">
        <f>IF(AND('Mapa final'!$Y$46="Muy Alta",'Mapa final'!$AA$46="Leve"),CONCATENATE("R8C",'Mapa final'!$O$46),"")</f>
        <v/>
      </c>
      <c r="M13" s="50" t="str">
        <f>IF(AND('Mapa final'!$Y$47="Muy Alta",'Mapa final'!$AA$47="Leve"),CONCATENATE("R8C",'Mapa final'!$O$47),"")</f>
        <v/>
      </c>
      <c r="N13" s="50" t="str">
        <f>IF(AND('Mapa final'!$Y$48="Muy Alta",'Mapa final'!$AA$48="Leve"),CONCATENATE("R8C",'Mapa final'!$O$48),"")</f>
        <v/>
      </c>
      <c r="O13" s="51" t="str">
        <f>IF(AND('Mapa final'!$Y$49="Muy Alta",'Mapa final'!$AA$49="Leve"),CONCATENATE("R8C",'Mapa final'!$O$49),"")</f>
        <v/>
      </c>
      <c r="P13" s="49" t="str">
        <f>IF(AND('Mapa final'!$Y$44="Muy Alta",'Mapa final'!$AA$44="Menor"),CONCATENATE("R8C",'Mapa final'!$O$44),"")</f>
        <v/>
      </c>
      <c r="Q13" s="50" t="str">
        <f>IF(AND('Mapa final'!$Y$45="Muy Alta",'Mapa final'!$AA$45="Menor"),CONCATENATE("R8C",'Mapa final'!$O$45),"")</f>
        <v/>
      </c>
      <c r="R13" s="50" t="str">
        <f>IF(AND('Mapa final'!$Y$46="Muy Alta",'Mapa final'!$AA$46="Menor"),CONCATENATE("R8C",'Mapa final'!$O$46),"")</f>
        <v/>
      </c>
      <c r="S13" s="50" t="str">
        <f>IF(AND('Mapa final'!$Y$47="Muy Alta",'Mapa final'!$AA$47="Menor"),CONCATENATE("R8C",'Mapa final'!$O$47),"")</f>
        <v/>
      </c>
      <c r="T13" s="50" t="str">
        <f>IF(AND('Mapa final'!$Y$48="Muy Alta",'Mapa final'!$AA$48="Menor"),CONCATENATE("R8C",'Mapa final'!$O$48),"")</f>
        <v/>
      </c>
      <c r="U13" s="51" t="str">
        <f>IF(AND('Mapa final'!$Y$49="Muy Alta",'Mapa final'!$AA$49="Menor"),CONCATENATE("R8C",'Mapa final'!$O$49),"")</f>
        <v/>
      </c>
      <c r="V13" s="49" t="str">
        <f>IF(AND('Mapa final'!$Y$44="Muy Alta",'Mapa final'!$AA$44="Moderado"),CONCATENATE("R8C",'Mapa final'!$O$44),"")</f>
        <v/>
      </c>
      <c r="W13" s="50" t="str">
        <f>IF(AND('Mapa final'!$Y$45="Muy Alta",'Mapa final'!$AA$45="Moderado"),CONCATENATE("R8C",'Mapa final'!$O$45),"")</f>
        <v/>
      </c>
      <c r="X13" s="50" t="str">
        <f>IF(AND('Mapa final'!$Y$46="Muy Alta",'Mapa final'!$AA$46="Moderado"),CONCATENATE("R8C",'Mapa final'!$O$46),"")</f>
        <v/>
      </c>
      <c r="Y13" s="50" t="str">
        <f>IF(AND('Mapa final'!$Y$47="Muy Alta",'Mapa final'!$AA$47="Moderado"),CONCATENATE("R8C",'Mapa final'!$O$47),"")</f>
        <v/>
      </c>
      <c r="Z13" s="50" t="str">
        <f>IF(AND('Mapa final'!$Y$48="Muy Alta",'Mapa final'!$AA$48="Moderado"),CONCATENATE("R8C",'Mapa final'!$O$48),"")</f>
        <v/>
      </c>
      <c r="AA13" s="51" t="str">
        <f>IF(AND('Mapa final'!$Y$49="Muy Alta",'Mapa final'!$AA$49="Moderado"),CONCATENATE("R8C",'Mapa final'!$O$49),"")</f>
        <v/>
      </c>
      <c r="AB13" s="49" t="str">
        <f>IF(AND('Mapa final'!$Y$44="Muy Alta",'Mapa final'!$AA$44="Mayor"),CONCATENATE("R8C",'Mapa final'!$O$44),"")</f>
        <v/>
      </c>
      <c r="AC13" s="50" t="str">
        <f>IF(AND('Mapa final'!$Y$45="Muy Alta",'Mapa final'!$AA$45="Mayor"),CONCATENATE("R8C",'Mapa final'!$O$45),"")</f>
        <v/>
      </c>
      <c r="AD13" s="50" t="str">
        <f>IF(AND('Mapa final'!$Y$46="Muy Alta",'Mapa final'!$AA$46="Mayor"),CONCATENATE("R8C",'Mapa final'!$O$46),"")</f>
        <v/>
      </c>
      <c r="AE13" s="50" t="str">
        <f>IF(AND('Mapa final'!$Y$47="Muy Alta",'Mapa final'!$AA$47="Mayor"),CONCATENATE("R8C",'Mapa final'!$O$47),"")</f>
        <v/>
      </c>
      <c r="AF13" s="50" t="str">
        <f>IF(AND('Mapa final'!$Y$48="Muy Alta",'Mapa final'!$AA$48="Mayor"),CONCATENATE("R8C",'Mapa final'!$O$48),"")</f>
        <v/>
      </c>
      <c r="AG13" s="51" t="str">
        <f>IF(AND('Mapa final'!$Y$49="Muy Alta",'Mapa final'!$AA$49="Mayor"),CONCATENATE("R8C",'Mapa final'!$O$49),"")</f>
        <v/>
      </c>
      <c r="AH13" s="52" t="str">
        <f>IF(AND('Mapa final'!$Y$44="Muy Alta",'Mapa final'!$AA$44="Catastrófico"),CONCATENATE("R8C",'Mapa final'!$O$44),"")</f>
        <v/>
      </c>
      <c r="AI13" s="53" t="str">
        <f>IF(AND('Mapa final'!$Y$45="Muy Alta",'Mapa final'!$AA$45="Catastrófico"),CONCATENATE("R8C",'Mapa final'!$O$45),"")</f>
        <v/>
      </c>
      <c r="AJ13" s="53" t="str">
        <f>IF(AND('Mapa final'!$Y$46="Muy Alta",'Mapa final'!$AA$46="Catastrófico"),CONCATENATE("R8C",'Mapa final'!$O$46),"")</f>
        <v/>
      </c>
      <c r="AK13" s="53" t="str">
        <f>IF(AND('Mapa final'!$Y$47="Muy Alta",'Mapa final'!$AA$47="Catastrófico"),CONCATENATE("R8C",'Mapa final'!$O$47),"")</f>
        <v/>
      </c>
      <c r="AL13" s="53" t="str">
        <f>IF(AND('Mapa final'!$Y$48="Muy Alta",'Mapa final'!$AA$48="Catastrófico"),CONCATENATE("R8C",'Mapa final'!$O$48),"")</f>
        <v/>
      </c>
      <c r="AM13" s="54" t="str">
        <f>IF(AND('Mapa final'!$Y$49="Muy Alta",'Mapa final'!$AA$49="Catastrófico"),CONCATENATE("R8C",'Mapa final'!$O$49),"")</f>
        <v/>
      </c>
      <c r="AN13" s="80"/>
      <c r="AO13" s="292"/>
      <c r="AP13" s="293"/>
      <c r="AQ13" s="293"/>
      <c r="AR13" s="293"/>
      <c r="AS13" s="293"/>
      <c r="AT13" s="294"/>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301"/>
      <c r="C14" s="301"/>
      <c r="D14" s="302"/>
      <c r="E14" s="286"/>
      <c r="F14" s="285"/>
      <c r="G14" s="285"/>
      <c r="H14" s="285"/>
      <c r="I14" s="304"/>
      <c r="J14" s="49" t="str">
        <f>IF(AND('Mapa final'!$Y$50="Muy Alta",'Mapa final'!$AA$50="Leve"),CONCATENATE("R9C",'Mapa final'!$O$50),"")</f>
        <v/>
      </c>
      <c r="K14" s="50" t="str">
        <f>IF(AND('Mapa final'!$Y$51="Muy Alta",'Mapa final'!$AA$51="Leve"),CONCATENATE("R9C",'Mapa final'!$O$51),"")</f>
        <v/>
      </c>
      <c r="L14" s="50" t="str">
        <f>IF(AND('Mapa final'!$Y$52="Muy Alta",'Mapa final'!$AA$52="Leve"),CONCATENATE("R9C",'Mapa final'!$O$52),"")</f>
        <v/>
      </c>
      <c r="M14" s="50" t="str">
        <f>IF(AND('Mapa final'!$Y$53="Muy Alta",'Mapa final'!$AA$53="Leve"),CONCATENATE("R9C",'Mapa final'!$O$53),"")</f>
        <v/>
      </c>
      <c r="N14" s="50" t="str">
        <f>IF(AND('Mapa final'!$Y$54="Muy Alta",'Mapa final'!$AA$54="Leve"),CONCATENATE("R9C",'Mapa final'!$O$54),"")</f>
        <v/>
      </c>
      <c r="O14" s="51" t="str">
        <f>IF(AND('Mapa final'!$Y$55="Muy Alta",'Mapa final'!$AA$55="Leve"),CONCATENATE("R9C",'Mapa final'!$O$55),"")</f>
        <v/>
      </c>
      <c r="P14" s="49" t="str">
        <f>IF(AND('Mapa final'!$Y$50="Muy Alta",'Mapa final'!$AA$50="Menor"),CONCATENATE("R9C",'Mapa final'!$O$50),"")</f>
        <v/>
      </c>
      <c r="Q14" s="50" t="str">
        <f>IF(AND('Mapa final'!$Y$51="Muy Alta",'Mapa final'!$AA$51="Menor"),CONCATENATE("R9C",'Mapa final'!$O$51),"")</f>
        <v/>
      </c>
      <c r="R14" s="50" t="str">
        <f>IF(AND('Mapa final'!$Y$52="Muy Alta",'Mapa final'!$AA$52="Menor"),CONCATENATE("R9C",'Mapa final'!$O$52),"")</f>
        <v/>
      </c>
      <c r="S14" s="50" t="str">
        <f>IF(AND('Mapa final'!$Y$53="Muy Alta",'Mapa final'!$AA$53="Menor"),CONCATENATE("R9C",'Mapa final'!$O$53),"")</f>
        <v/>
      </c>
      <c r="T14" s="50" t="str">
        <f>IF(AND('Mapa final'!$Y$54="Muy Alta",'Mapa final'!$AA$54="Menor"),CONCATENATE("R9C",'Mapa final'!$O$54),"")</f>
        <v/>
      </c>
      <c r="U14" s="51" t="str">
        <f>IF(AND('Mapa final'!$Y$55="Muy Alta",'Mapa final'!$AA$55="Menor"),CONCATENATE("R9C",'Mapa final'!$O$55),"")</f>
        <v/>
      </c>
      <c r="V14" s="49" t="str">
        <f>IF(AND('Mapa final'!$Y$50="Muy Alta",'Mapa final'!$AA$50="Moderado"),CONCATENATE("R9C",'Mapa final'!$O$50),"")</f>
        <v/>
      </c>
      <c r="W14" s="50" t="str">
        <f>IF(AND('Mapa final'!$Y$51="Muy Alta",'Mapa final'!$AA$51="Moderado"),CONCATENATE("R9C",'Mapa final'!$O$51),"")</f>
        <v/>
      </c>
      <c r="X14" s="50" t="str">
        <f>IF(AND('Mapa final'!$Y$52="Muy Alta",'Mapa final'!$AA$52="Moderado"),CONCATENATE("R9C",'Mapa final'!$O$52),"")</f>
        <v/>
      </c>
      <c r="Y14" s="50" t="str">
        <f>IF(AND('Mapa final'!$Y$53="Muy Alta",'Mapa final'!$AA$53="Moderado"),CONCATENATE("R9C",'Mapa final'!$O$53),"")</f>
        <v/>
      </c>
      <c r="Z14" s="50" t="str">
        <f>IF(AND('Mapa final'!$Y$54="Muy Alta",'Mapa final'!$AA$54="Moderado"),CONCATENATE("R9C",'Mapa final'!$O$54),"")</f>
        <v/>
      </c>
      <c r="AA14" s="51" t="str">
        <f>IF(AND('Mapa final'!$Y$55="Muy Alta",'Mapa final'!$AA$55="Moderado"),CONCATENATE("R9C",'Mapa final'!$O$55),"")</f>
        <v/>
      </c>
      <c r="AB14" s="49" t="str">
        <f>IF(AND('Mapa final'!$Y$50="Muy Alta",'Mapa final'!$AA$50="Mayor"),CONCATENATE("R9C",'Mapa final'!$O$50),"")</f>
        <v/>
      </c>
      <c r="AC14" s="50" t="str">
        <f>IF(AND('Mapa final'!$Y$51="Muy Alta",'Mapa final'!$AA$51="Mayor"),CONCATENATE("R9C",'Mapa final'!$O$51),"")</f>
        <v/>
      </c>
      <c r="AD14" s="50" t="str">
        <f>IF(AND('Mapa final'!$Y$52="Muy Alta",'Mapa final'!$AA$52="Mayor"),CONCATENATE("R9C",'Mapa final'!$O$52),"")</f>
        <v/>
      </c>
      <c r="AE14" s="50" t="str">
        <f>IF(AND('Mapa final'!$Y$53="Muy Alta",'Mapa final'!$AA$53="Mayor"),CONCATENATE("R9C",'Mapa final'!$O$53),"")</f>
        <v/>
      </c>
      <c r="AF14" s="50" t="str">
        <f>IF(AND('Mapa final'!$Y$54="Muy Alta",'Mapa final'!$AA$54="Mayor"),CONCATENATE("R9C",'Mapa final'!$O$54),"")</f>
        <v/>
      </c>
      <c r="AG14" s="51" t="str">
        <f>IF(AND('Mapa final'!$Y$55="Muy Alta",'Mapa final'!$AA$55="Mayor"),CONCATENATE("R9C",'Mapa final'!$O$55),"")</f>
        <v/>
      </c>
      <c r="AH14" s="52" t="str">
        <f>IF(AND('Mapa final'!$Y$50="Muy Alta",'Mapa final'!$AA$50="Catastrófico"),CONCATENATE("R9C",'Mapa final'!$O$50),"")</f>
        <v/>
      </c>
      <c r="AI14" s="53" t="str">
        <f>IF(AND('Mapa final'!$Y$51="Muy Alta",'Mapa final'!$AA$51="Catastrófico"),CONCATENATE("R9C",'Mapa final'!$O$51),"")</f>
        <v/>
      </c>
      <c r="AJ14" s="53" t="str">
        <f>IF(AND('Mapa final'!$Y$52="Muy Alta",'Mapa final'!$AA$52="Catastrófico"),CONCATENATE("R9C",'Mapa final'!$O$52),"")</f>
        <v/>
      </c>
      <c r="AK14" s="53" t="str">
        <f>IF(AND('Mapa final'!$Y$53="Muy Alta",'Mapa final'!$AA$53="Catastrófico"),CONCATENATE("R9C",'Mapa final'!$O$53),"")</f>
        <v/>
      </c>
      <c r="AL14" s="53" t="str">
        <f>IF(AND('Mapa final'!$Y$54="Muy Alta",'Mapa final'!$AA$54="Catastrófico"),CONCATENATE("R9C",'Mapa final'!$O$54),"")</f>
        <v/>
      </c>
      <c r="AM14" s="54" t="str">
        <f>IF(AND('Mapa final'!$Y$55="Muy Alta",'Mapa final'!$AA$55="Catastrófico"),CONCATENATE("R9C",'Mapa final'!$O$55),"")</f>
        <v/>
      </c>
      <c r="AN14" s="80"/>
      <c r="AO14" s="292"/>
      <c r="AP14" s="293"/>
      <c r="AQ14" s="293"/>
      <c r="AR14" s="293"/>
      <c r="AS14" s="293"/>
      <c r="AT14" s="294"/>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301"/>
      <c r="C15" s="301"/>
      <c r="D15" s="302"/>
      <c r="E15" s="287"/>
      <c r="F15" s="288"/>
      <c r="G15" s="288"/>
      <c r="H15" s="288"/>
      <c r="I15" s="305"/>
      <c r="J15" s="55" t="str">
        <f>IF(AND('Mapa final'!$Y$56="Muy Alta",'Mapa final'!$AA$56="Leve"),CONCATENATE("R10C",'Mapa final'!$O$56),"")</f>
        <v/>
      </c>
      <c r="K15" s="56" t="str">
        <f>IF(AND('Mapa final'!$Y$57="Muy Alta",'Mapa final'!$AA$57="Leve"),CONCATENATE("R10C",'Mapa final'!$O$57),"")</f>
        <v/>
      </c>
      <c r="L15" s="56" t="str">
        <f>IF(AND('Mapa final'!$Y$58="Muy Alta",'Mapa final'!$AA$58="Leve"),CONCATENATE("R10C",'Mapa final'!$O$58),"")</f>
        <v/>
      </c>
      <c r="M15" s="56" t="str">
        <f>IF(AND('Mapa final'!$Y$59="Muy Alta",'Mapa final'!$AA$59="Leve"),CONCATENATE("R10C",'Mapa final'!$O$59),"")</f>
        <v/>
      </c>
      <c r="N15" s="56" t="str">
        <f>IF(AND('Mapa final'!$Y$60="Muy Alta",'Mapa final'!$AA$60="Leve"),CONCATENATE("R10C",'Mapa final'!$O$60),"")</f>
        <v/>
      </c>
      <c r="O15" s="57" t="str">
        <f>IF(AND('Mapa final'!$Y$61="Muy Alta",'Mapa final'!$AA$61="Leve"),CONCATENATE("R10C",'Mapa final'!$O$61),"")</f>
        <v/>
      </c>
      <c r="P15" s="49" t="str">
        <f>IF(AND('Mapa final'!$Y$56="Muy Alta",'Mapa final'!$AA$56="Menor"),CONCATENATE("R10C",'Mapa final'!$O$56),"")</f>
        <v/>
      </c>
      <c r="Q15" s="50" t="str">
        <f>IF(AND('Mapa final'!$Y$57="Muy Alta",'Mapa final'!$AA$57="Menor"),CONCATENATE("R10C",'Mapa final'!$O$57),"")</f>
        <v/>
      </c>
      <c r="R15" s="50" t="str">
        <f>IF(AND('Mapa final'!$Y$58="Muy Alta",'Mapa final'!$AA$58="Menor"),CONCATENATE("R10C",'Mapa final'!$O$58),"")</f>
        <v/>
      </c>
      <c r="S15" s="50" t="str">
        <f>IF(AND('Mapa final'!$Y$59="Muy Alta",'Mapa final'!$AA$59="Menor"),CONCATENATE("R10C",'Mapa final'!$O$59),"")</f>
        <v/>
      </c>
      <c r="T15" s="50" t="str">
        <f>IF(AND('Mapa final'!$Y$60="Muy Alta",'Mapa final'!$AA$60="Menor"),CONCATENATE("R10C",'Mapa final'!$O$60),"")</f>
        <v/>
      </c>
      <c r="U15" s="51" t="str">
        <f>IF(AND('Mapa final'!$Y$61="Muy Alta",'Mapa final'!$AA$61="Menor"),CONCATENATE("R10C",'Mapa final'!$O$61),"")</f>
        <v/>
      </c>
      <c r="V15" s="55" t="str">
        <f>IF(AND('Mapa final'!$Y$56="Muy Alta",'Mapa final'!$AA$56="Moderado"),CONCATENATE("R10C",'Mapa final'!$O$56),"")</f>
        <v/>
      </c>
      <c r="W15" s="56" t="str">
        <f>IF(AND('Mapa final'!$Y$57="Muy Alta",'Mapa final'!$AA$57="Moderado"),CONCATENATE("R10C",'Mapa final'!$O$57),"")</f>
        <v/>
      </c>
      <c r="X15" s="56" t="str">
        <f>IF(AND('Mapa final'!$Y$58="Muy Alta",'Mapa final'!$AA$58="Moderado"),CONCATENATE("R10C",'Mapa final'!$O$58),"")</f>
        <v/>
      </c>
      <c r="Y15" s="56" t="str">
        <f>IF(AND('Mapa final'!$Y$59="Muy Alta",'Mapa final'!$AA$59="Moderado"),CONCATENATE("R10C",'Mapa final'!$O$59),"")</f>
        <v/>
      </c>
      <c r="Z15" s="56" t="str">
        <f>IF(AND('Mapa final'!$Y$60="Muy Alta",'Mapa final'!$AA$60="Moderado"),CONCATENATE("R10C",'Mapa final'!$O$60),"")</f>
        <v/>
      </c>
      <c r="AA15" s="57" t="str">
        <f>IF(AND('Mapa final'!$Y$61="Muy Alta",'Mapa final'!$AA$61="Moderado"),CONCATENATE("R10C",'Mapa final'!$O$61),"")</f>
        <v/>
      </c>
      <c r="AB15" s="49" t="str">
        <f>IF(AND('Mapa final'!$Y$56="Muy Alta",'Mapa final'!$AA$56="Mayor"),CONCATENATE("R10C",'Mapa final'!$O$56),"")</f>
        <v/>
      </c>
      <c r="AC15" s="50" t="str">
        <f>IF(AND('Mapa final'!$Y$57="Muy Alta",'Mapa final'!$AA$57="Mayor"),CONCATENATE("R10C",'Mapa final'!$O$57),"")</f>
        <v/>
      </c>
      <c r="AD15" s="50" t="str">
        <f>IF(AND('Mapa final'!$Y$58="Muy Alta",'Mapa final'!$AA$58="Mayor"),CONCATENATE("R10C",'Mapa final'!$O$58),"")</f>
        <v/>
      </c>
      <c r="AE15" s="50" t="str">
        <f>IF(AND('Mapa final'!$Y$59="Muy Alta",'Mapa final'!$AA$59="Mayor"),CONCATENATE("R10C",'Mapa final'!$O$59),"")</f>
        <v/>
      </c>
      <c r="AF15" s="50" t="str">
        <f>IF(AND('Mapa final'!$Y$60="Muy Alta",'Mapa final'!$AA$60="Mayor"),CONCATENATE("R10C",'Mapa final'!$O$60),"")</f>
        <v/>
      </c>
      <c r="AG15" s="51" t="str">
        <f>IF(AND('Mapa final'!$Y$61="Muy Alta",'Mapa final'!$AA$61="Mayor"),CONCATENATE("R10C",'Mapa final'!$O$61),"")</f>
        <v/>
      </c>
      <c r="AH15" s="58" t="str">
        <f>IF(AND('Mapa final'!$Y$56="Muy Alta",'Mapa final'!$AA$56="Catastrófico"),CONCATENATE("R10C",'Mapa final'!$O$56),"")</f>
        <v/>
      </c>
      <c r="AI15" s="59" t="str">
        <f>IF(AND('Mapa final'!$Y$57="Muy Alta",'Mapa final'!$AA$57="Catastrófico"),CONCATENATE("R10C",'Mapa final'!$O$57),"")</f>
        <v/>
      </c>
      <c r="AJ15" s="59" t="str">
        <f>IF(AND('Mapa final'!$Y$58="Muy Alta",'Mapa final'!$AA$58="Catastrófico"),CONCATENATE("R10C",'Mapa final'!$O$58),"")</f>
        <v/>
      </c>
      <c r="AK15" s="59" t="str">
        <f>IF(AND('Mapa final'!$Y$59="Muy Alta",'Mapa final'!$AA$59="Catastrófico"),CONCATENATE("R10C",'Mapa final'!$O$59),"")</f>
        <v/>
      </c>
      <c r="AL15" s="59" t="str">
        <f>IF(AND('Mapa final'!$Y$60="Muy Alta",'Mapa final'!$AA$60="Catastrófico"),CONCATENATE("R10C",'Mapa final'!$O$60),"")</f>
        <v/>
      </c>
      <c r="AM15" s="60" t="str">
        <f>IF(AND('Mapa final'!$Y$61="Muy Alta",'Mapa final'!$AA$61="Catastrófico"),CONCATENATE("R10C",'Mapa final'!$O$61),"")</f>
        <v/>
      </c>
      <c r="AN15" s="80"/>
      <c r="AO15" s="295"/>
      <c r="AP15" s="296"/>
      <c r="AQ15" s="296"/>
      <c r="AR15" s="296"/>
      <c r="AS15" s="296"/>
      <c r="AT15" s="297"/>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301"/>
      <c r="C16" s="301"/>
      <c r="D16" s="302"/>
      <c r="E16" s="282" t="s">
        <v>115</v>
      </c>
      <c r="F16" s="283"/>
      <c r="G16" s="283"/>
      <c r="H16" s="283"/>
      <c r="I16" s="283"/>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73" t="s">
        <v>80</v>
      </c>
      <c r="AP16" s="274"/>
      <c r="AQ16" s="274"/>
      <c r="AR16" s="274"/>
      <c r="AS16" s="274"/>
      <c r="AT16" s="275"/>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301"/>
      <c r="C17" s="301"/>
      <c r="D17" s="302"/>
      <c r="E17" s="284"/>
      <c r="F17" s="285"/>
      <c r="G17" s="285"/>
      <c r="H17" s="285"/>
      <c r="I17" s="285"/>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276"/>
      <c r="AP17" s="277"/>
      <c r="AQ17" s="277"/>
      <c r="AR17" s="277"/>
      <c r="AS17" s="277"/>
      <c r="AT17" s="278"/>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301"/>
      <c r="C18" s="301"/>
      <c r="D18" s="302"/>
      <c r="E18" s="286"/>
      <c r="F18" s="285"/>
      <c r="G18" s="285"/>
      <c r="H18" s="285"/>
      <c r="I18" s="285"/>
      <c r="J18" s="64" t="str">
        <f>IF(AND('Mapa final'!$Y$22="Alta",'Mapa final'!$AA$22="Leve"),CONCATENATE("R3C",'Mapa final'!$O$22),"")</f>
        <v/>
      </c>
      <c r="K18" s="65" t="e">
        <f>IF(AND('Mapa final'!#REF!="Alta",'Mapa final'!#REF!="Leve"),CONCATENATE("R3C",'Mapa final'!#REF!),"")</f>
        <v>#REF!</v>
      </c>
      <c r="L18" s="65" t="str">
        <f>IF(AND('Mapa final'!$Y$23="Alta",'Mapa final'!$AA$23="Leve"),CONCATENATE("R3C",'Mapa final'!$O$23),"")</f>
        <v/>
      </c>
      <c r="M18" s="65" t="str">
        <f>IF(AND('Mapa final'!$Y$24="Alta",'Mapa final'!$AA$24="Leve"),CONCATENATE("R3C",'Mapa final'!$O$24),"")</f>
        <v/>
      </c>
      <c r="N18" s="65" t="str">
        <f>IF(AND('Mapa final'!$Y$25="Alta",'Mapa final'!$AA$25="Leve"),CONCATENATE("R3C",'Mapa final'!$O$25),"")</f>
        <v/>
      </c>
      <c r="O18" s="66" t="str">
        <f>IF(AND('Mapa final'!$Y$26="Alta",'Mapa final'!$AA$26="Leve"),CONCATENATE("R3C",'Mapa final'!$O$26),"")</f>
        <v/>
      </c>
      <c r="P18" s="64" t="str">
        <f>IF(AND('Mapa final'!$Y$22="Alta",'Mapa final'!$AA$22="Menor"),CONCATENATE("R3C",'Mapa final'!$O$22),"")</f>
        <v/>
      </c>
      <c r="Q18" s="65" t="e">
        <f>IF(AND('Mapa final'!#REF!="Alta",'Mapa final'!#REF!="Menor"),CONCATENATE("R3C",'Mapa final'!#REF!),"")</f>
        <v>#REF!</v>
      </c>
      <c r="R18" s="65" t="str">
        <f>IF(AND('Mapa final'!$Y$23="Alta",'Mapa final'!$AA$23="Menor"),CONCATENATE("R3C",'Mapa final'!$O$23),"")</f>
        <v/>
      </c>
      <c r="S18" s="65" t="str">
        <f>IF(AND('Mapa final'!$Y$24="Alta",'Mapa final'!$AA$24="Menor"),CONCATENATE("R3C",'Mapa final'!$O$24),"")</f>
        <v/>
      </c>
      <c r="T18" s="65" t="str">
        <f>IF(AND('Mapa final'!$Y$25="Alta",'Mapa final'!$AA$25="Menor"),CONCATENATE("R3C",'Mapa final'!$O$25),"")</f>
        <v/>
      </c>
      <c r="U18" s="66" t="str">
        <f>IF(AND('Mapa final'!$Y$26="Alta",'Mapa final'!$AA$26="Menor"),CONCATENATE("R3C",'Mapa final'!$O$26),"")</f>
        <v/>
      </c>
      <c r="V18" s="49" t="str">
        <f>IF(AND('Mapa final'!$Y$22="Alta",'Mapa final'!$AA$22="Moderado"),CONCATENATE("R3C",'Mapa final'!$O$22),"")</f>
        <v/>
      </c>
      <c r="W18" s="50" t="e">
        <f>IF(AND('Mapa final'!#REF!="Alta",'Mapa final'!#REF!="Moderado"),CONCATENATE("R3C",'Mapa final'!#REF!),"")</f>
        <v>#REF!</v>
      </c>
      <c r="X18" s="50" t="str">
        <f>IF(AND('Mapa final'!$Y$23="Alta",'Mapa final'!$AA$23="Moderado"),CONCATENATE("R3C",'Mapa final'!$O$23),"")</f>
        <v/>
      </c>
      <c r="Y18" s="50" t="str">
        <f>IF(AND('Mapa final'!$Y$24="Alta",'Mapa final'!$AA$24="Moderado"),CONCATENATE("R3C",'Mapa final'!$O$24),"")</f>
        <v/>
      </c>
      <c r="Z18" s="50" t="str">
        <f>IF(AND('Mapa final'!$Y$25="Alta",'Mapa final'!$AA$25="Moderado"),CONCATENATE("R3C",'Mapa final'!$O$25),"")</f>
        <v/>
      </c>
      <c r="AA18" s="51" t="str">
        <f>IF(AND('Mapa final'!$Y$26="Alta",'Mapa final'!$AA$26="Moderado"),CONCATENATE("R3C",'Mapa final'!$O$26),"")</f>
        <v/>
      </c>
      <c r="AB18" s="49" t="str">
        <f>IF(AND('Mapa final'!$Y$22="Alta",'Mapa final'!$AA$22="Mayor"),CONCATENATE("R3C",'Mapa final'!$O$22),"")</f>
        <v/>
      </c>
      <c r="AC18" s="50" t="e">
        <f>IF(AND('Mapa final'!#REF!="Alta",'Mapa final'!#REF!="Mayor"),CONCATENATE("R3C",'Mapa final'!#REF!),"")</f>
        <v>#REF!</v>
      </c>
      <c r="AD18" s="50" t="str">
        <f>IF(AND('Mapa final'!$Y$23="Alta",'Mapa final'!$AA$23="Mayor"),CONCATENATE("R3C",'Mapa final'!$O$23),"")</f>
        <v/>
      </c>
      <c r="AE18" s="50" t="str">
        <f>IF(AND('Mapa final'!$Y$24="Alta",'Mapa final'!$AA$24="Mayor"),CONCATENATE("R3C",'Mapa final'!$O$24),"")</f>
        <v/>
      </c>
      <c r="AF18" s="50" t="str">
        <f>IF(AND('Mapa final'!$Y$25="Alta",'Mapa final'!$AA$25="Mayor"),CONCATENATE("R3C",'Mapa final'!$O$25),"")</f>
        <v/>
      </c>
      <c r="AG18" s="51" t="str">
        <f>IF(AND('Mapa final'!$Y$26="Alta",'Mapa final'!$AA$26="Mayor"),CONCATENATE("R3C",'Mapa final'!$O$26),"")</f>
        <v/>
      </c>
      <c r="AH18" s="52" t="str">
        <f>IF(AND('Mapa final'!$Y$22="Alta",'Mapa final'!$AA$22="Catastrófico"),CONCATENATE("R3C",'Mapa final'!$O$22),"")</f>
        <v/>
      </c>
      <c r="AI18" s="53" t="e">
        <f>IF(AND('Mapa final'!#REF!="Alta",'Mapa final'!#REF!="Catastrófico"),CONCATENATE("R3C",'Mapa final'!#REF!),"")</f>
        <v>#REF!</v>
      </c>
      <c r="AJ18" s="53" t="str">
        <f>IF(AND('Mapa final'!$Y$23="Alta",'Mapa final'!$AA$23="Catastrófico"),CONCATENATE("R3C",'Mapa final'!$O$23),"")</f>
        <v/>
      </c>
      <c r="AK18" s="53" t="str">
        <f>IF(AND('Mapa final'!$Y$24="Alta",'Mapa final'!$AA$24="Catastrófico"),CONCATENATE("R3C",'Mapa final'!$O$24),"")</f>
        <v/>
      </c>
      <c r="AL18" s="53" t="str">
        <f>IF(AND('Mapa final'!$Y$25="Alta",'Mapa final'!$AA$25="Catastrófico"),CONCATENATE("R3C",'Mapa final'!$O$25),"")</f>
        <v/>
      </c>
      <c r="AM18" s="54" t="str">
        <f>IF(AND('Mapa final'!$Y$26="Alta",'Mapa final'!$AA$26="Catastrófico"),CONCATENATE("R3C",'Mapa final'!$O$26),"")</f>
        <v/>
      </c>
      <c r="AN18" s="80"/>
      <c r="AO18" s="276"/>
      <c r="AP18" s="277"/>
      <c r="AQ18" s="277"/>
      <c r="AR18" s="277"/>
      <c r="AS18" s="277"/>
      <c r="AT18" s="278"/>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301"/>
      <c r="C19" s="301"/>
      <c r="D19" s="302"/>
      <c r="E19" s="286"/>
      <c r="F19" s="285"/>
      <c r="G19" s="285"/>
      <c r="H19" s="285"/>
      <c r="I19" s="285"/>
      <c r="J19" s="64" t="str">
        <f>IF(AND('Mapa final'!$Y$27="Alta",'Mapa final'!$AA$27="Leve"),CONCATENATE("R4C",'Mapa final'!$O$27),"")</f>
        <v/>
      </c>
      <c r="K19" s="65" t="e">
        <f>IF(AND('Mapa final'!#REF!="Alta",'Mapa final'!#REF!="Leve"),CONCATENATE("R4C",'Mapa final'!#REF!),"")</f>
        <v>#REF!</v>
      </c>
      <c r="L19" s="65" t="str">
        <f>IF(AND('Mapa final'!$Y$28="Alta",'Mapa final'!$AA$28="Leve"),CONCATENATE("R4C",'Mapa final'!$O$28),"")</f>
        <v/>
      </c>
      <c r="M19" s="65" t="str">
        <f>IF(AND('Mapa final'!$Y$29="Alta",'Mapa final'!$AA$29="Leve"),CONCATENATE("R4C",'Mapa final'!$O$29),"")</f>
        <v/>
      </c>
      <c r="N19" s="65" t="str">
        <f>IF(AND('Mapa final'!$Y$30="Alta",'Mapa final'!$AA$30="Leve"),CONCATENATE("R4C",'Mapa final'!$O$30),"")</f>
        <v/>
      </c>
      <c r="O19" s="66" t="str">
        <f>IF(AND('Mapa final'!$Y$31="Alta",'Mapa final'!$AA$31="Leve"),CONCATENATE("R4C",'Mapa final'!$O$31),"")</f>
        <v/>
      </c>
      <c r="P19" s="64" t="str">
        <f>IF(AND('Mapa final'!$Y$27="Alta",'Mapa final'!$AA$27="Menor"),CONCATENATE("R4C",'Mapa final'!$O$27),"")</f>
        <v/>
      </c>
      <c r="Q19" s="65" t="e">
        <f>IF(AND('Mapa final'!#REF!="Alta",'Mapa final'!#REF!="Menor"),CONCATENATE("R4C",'Mapa final'!#REF!),"")</f>
        <v>#REF!</v>
      </c>
      <c r="R19" s="65" t="str">
        <f>IF(AND('Mapa final'!$Y$28="Alta",'Mapa final'!$AA$28="Menor"),CONCATENATE("R4C",'Mapa final'!$O$28),"")</f>
        <v/>
      </c>
      <c r="S19" s="65" t="str">
        <f>IF(AND('Mapa final'!$Y$29="Alta",'Mapa final'!$AA$29="Menor"),CONCATENATE("R4C",'Mapa final'!$O$29),"")</f>
        <v/>
      </c>
      <c r="T19" s="65" t="str">
        <f>IF(AND('Mapa final'!$Y$30="Alta",'Mapa final'!$AA$30="Menor"),CONCATENATE("R4C",'Mapa final'!$O$30),"")</f>
        <v/>
      </c>
      <c r="U19" s="66" t="str">
        <f>IF(AND('Mapa final'!$Y$31="Alta",'Mapa final'!$AA$31="Menor"),CONCATENATE("R4C",'Mapa final'!$O$31),"")</f>
        <v/>
      </c>
      <c r="V19" s="49" t="str">
        <f>IF(AND('Mapa final'!$Y$27="Alta",'Mapa final'!$AA$27="Moderado"),CONCATENATE("R4C",'Mapa final'!$O$27),"")</f>
        <v/>
      </c>
      <c r="W19" s="50" t="e">
        <f>IF(AND('Mapa final'!#REF!="Alta",'Mapa final'!#REF!="Moderado"),CONCATENATE("R4C",'Mapa final'!#REF!),"")</f>
        <v>#REF!</v>
      </c>
      <c r="X19" s="50" t="str">
        <f>IF(AND('Mapa final'!$Y$28="Alta",'Mapa final'!$AA$28="Moderado"),CONCATENATE("R4C",'Mapa final'!$O$28),"")</f>
        <v/>
      </c>
      <c r="Y19" s="50" t="str">
        <f>IF(AND('Mapa final'!$Y$29="Alta",'Mapa final'!$AA$29="Moderado"),CONCATENATE("R4C",'Mapa final'!$O$29),"")</f>
        <v/>
      </c>
      <c r="Z19" s="50" t="str">
        <f>IF(AND('Mapa final'!$Y$30="Alta",'Mapa final'!$AA$30="Moderado"),CONCATENATE("R4C",'Mapa final'!$O$30),"")</f>
        <v/>
      </c>
      <c r="AA19" s="51" t="str">
        <f>IF(AND('Mapa final'!$Y$31="Alta",'Mapa final'!$AA$31="Moderado"),CONCATENATE("R4C",'Mapa final'!$O$31),"")</f>
        <v/>
      </c>
      <c r="AB19" s="49" t="str">
        <f>IF(AND('Mapa final'!$Y$27="Alta",'Mapa final'!$AA$27="Mayor"),CONCATENATE("R4C",'Mapa final'!$O$27),"")</f>
        <v/>
      </c>
      <c r="AC19" s="50" t="e">
        <f>IF(AND('Mapa final'!#REF!="Alta",'Mapa final'!#REF!="Mayor"),CONCATENATE("R4C",'Mapa final'!#REF!),"")</f>
        <v>#REF!</v>
      </c>
      <c r="AD19" s="50" t="str">
        <f>IF(AND('Mapa final'!$Y$28="Alta",'Mapa final'!$AA$28="Mayor"),CONCATENATE("R4C",'Mapa final'!$O$28),"")</f>
        <v/>
      </c>
      <c r="AE19" s="50" t="str">
        <f>IF(AND('Mapa final'!$Y$29="Alta",'Mapa final'!$AA$29="Mayor"),CONCATENATE("R4C",'Mapa final'!$O$29),"")</f>
        <v/>
      </c>
      <c r="AF19" s="50" t="str">
        <f>IF(AND('Mapa final'!$Y$30="Alta",'Mapa final'!$AA$30="Mayor"),CONCATENATE("R4C",'Mapa final'!$O$30),"")</f>
        <v/>
      </c>
      <c r="AG19" s="51" t="str">
        <f>IF(AND('Mapa final'!$Y$31="Alta",'Mapa final'!$AA$31="Mayor"),CONCATENATE("R4C",'Mapa final'!$O$31),"")</f>
        <v/>
      </c>
      <c r="AH19" s="52" t="str">
        <f>IF(AND('Mapa final'!$Y$27="Alta",'Mapa final'!$AA$27="Catastrófico"),CONCATENATE("R4C",'Mapa final'!$O$27),"")</f>
        <v/>
      </c>
      <c r="AI19" s="53" t="e">
        <f>IF(AND('Mapa final'!#REF!="Alta",'Mapa final'!#REF!="Catastrófico"),CONCATENATE("R4C",'Mapa final'!#REF!),"")</f>
        <v>#REF!</v>
      </c>
      <c r="AJ19" s="53" t="str">
        <f>IF(AND('Mapa final'!$Y$28="Alta",'Mapa final'!$AA$28="Catastrófico"),CONCATENATE("R4C",'Mapa final'!$O$28),"")</f>
        <v/>
      </c>
      <c r="AK19" s="53" t="str">
        <f>IF(AND('Mapa final'!$Y$29="Alta",'Mapa final'!$AA$29="Catastrófico"),CONCATENATE("R4C",'Mapa final'!$O$29),"")</f>
        <v/>
      </c>
      <c r="AL19" s="53" t="str">
        <f>IF(AND('Mapa final'!$Y$30="Alta",'Mapa final'!$AA$30="Catastrófico"),CONCATENATE("R4C",'Mapa final'!$O$30),"")</f>
        <v/>
      </c>
      <c r="AM19" s="54" t="str">
        <f>IF(AND('Mapa final'!$Y$31="Alta",'Mapa final'!$AA$31="Catastrófico"),CONCATENATE("R4C",'Mapa final'!$O$31),"")</f>
        <v/>
      </c>
      <c r="AN19" s="80"/>
      <c r="AO19" s="276"/>
      <c r="AP19" s="277"/>
      <c r="AQ19" s="277"/>
      <c r="AR19" s="277"/>
      <c r="AS19" s="277"/>
      <c r="AT19" s="278"/>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301"/>
      <c r="C20" s="301"/>
      <c r="D20" s="302"/>
      <c r="E20" s="286"/>
      <c r="F20" s="285"/>
      <c r="G20" s="285"/>
      <c r="H20" s="285"/>
      <c r="I20" s="285"/>
      <c r="J20" s="64" t="str">
        <f>IF(AND('Mapa final'!$Y$32="Alta",'Mapa final'!$AA$32="Leve"),CONCATENATE("R5C",'Mapa final'!$O$32),"")</f>
        <v/>
      </c>
      <c r="K20" s="65" t="str">
        <f>IF(AND('Mapa final'!$Y$33="Alta",'Mapa final'!$AA$33="Leve"),CONCATENATE("R5C",'Mapa final'!$O$33),"")</f>
        <v/>
      </c>
      <c r="L20" s="65" t="str">
        <f>IF(AND('Mapa final'!$Y$34="Alta",'Mapa final'!$AA$34="Leve"),CONCATENATE("R5C",'Mapa final'!$O$34),"")</f>
        <v/>
      </c>
      <c r="M20" s="65" t="str">
        <f>IF(AND('Mapa final'!$Y$35="Alta",'Mapa final'!$AA$35="Leve"),CONCATENATE("R5C",'Mapa final'!$O$35),"")</f>
        <v/>
      </c>
      <c r="N20" s="65" t="str">
        <f>IF(AND('Mapa final'!$Y$36="Alta",'Mapa final'!$AA$36="Leve"),CONCATENATE("R5C",'Mapa final'!$O$36),"")</f>
        <v/>
      </c>
      <c r="O20" s="66" t="str">
        <f>IF(AND('Mapa final'!$Y$37="Alta",'Mapa final'!$AA$37="Leve"),CONCATENATE("R5C",'Mapa final'!$O$37),"")</f>
        <v/>
      </c>
      <c r="P20" s="64" t="str">
        <f>IF(AND('Mapa final'!$Y$32="Alta",'Mapa final'!$AA$32="Menor"),CONCATENATE("R5C",'Mapa final'!$O$32),"")</f>
        <v/>
      </c>
      <c r="Q20" s="65" t="str">
        <f>IF(AND('Mapa final'!$Y$33="Alta",'Mapa final'!$AA$33="Menor"),CONCATENATE("R5C",'Mapa final'!$O$33),"")</f>
        <v/>
      </c>
      <c r="R20" s="65" t="str">
        <f>IF(AND('Mapa final'!$Y$34="Alta",'Mapa final'!$AA$34="Menor"),CONCATENATE("R5C",'Mapa final'!$O$34),"")</f>
        <v/>
      </c>
      <c r="S20" s="65" t="str">
        <f>IF(AND('Mapa final'!$Y$35="Alta",'Mapa final'!$AA$35="Menor"),CONCATENATE("R5C",'Mapa final'!$O$35),"")</f>
        <v/>
      </c>
      <c r="T20" s="65" t="str">
        <f>IF(AND('Mapa final'!$Y$36="Alta",'Mapa final'!$AA$36="Menor"),CONCATENATE("R5C",'Mapa final'!$O$36),"")</f>
        <v/>
      </c>
      <c r="U20" s="66" t="str">
        <f>IF(AND('Mapa final'!$Y$37="Alta",'Mapa final'!$AA$37="Menor"),CONCATENATE("R5C",'Mapa final'!$O$37),"")</f>
        <v/>
      </c>
      <c r="V20" s="49" t="str">
        <f>IF(AND('Mapa final'!$Y$32="Alta",'Mapa final'!$AA$32="Moderado"),CONCATENATE("R5C",'Mapa final'!$O$32),"")</f>
        <v/>
      </c>
      <c r="W20" s="50" t="str">
        <f>IF(AND('Mapa final'!$Y$33="Alta",'Mapa final'!$AA$33="Moderado"),CONCATENATE("R5C",'Mapa final'!$O$33),"")</f>
        <v/>
      </c>
      <c r="X20" s="50" t="str">
        <f>IF(AND('Mapa final'!$Y$34="Alta",'Mapa final'!$AA$34="Moderado"),CONCATENATE("R5C",'Mapa final'!$O$34),"")</f>
        <v/>
      </c>
      <c r="Y20" s="50" t="str">
        <f>IF(AND('Mapa final'!$Y$35="Alta",'Mapa final'!$AA$35="Moderado"),CONCATENATE("R5C",'Mapa final'!$O$35),"")</f>
        <v/>
      </c>
      <c r="Z20" s="50" t="str">
        <f>IF(AND('Mapa final'!$Y$36="Alta",'Mapa final'!$AA$36="Moderado"),CONCATENATE("R5C",'Mapa final'!$O$36),"")</f>
        <v/>
      </c>
      <c r="AA20" s="51" t="str">
        <f>IF(AND('Mapa final'!$Y$37="Alta",'Mapa final'!$AA$37="Moderado"),CONCATENATE("R5C",'Mapa final'!$O$37),"")</f>
        <v/>
      </c>
      <c r="AB20" s="49" t="str">
        <f>IF(AND('Mapa final'!$Y$32="Alta",'Mapa final'!$AA$32="Mayor"),CONCATENATE("R5C",'Mapa final'!$O$32),"")</f>
        <v/>
      </c>
      <c r="AC20" s="50" t="str">
        <f>IF(AND('Mapa final'!$Y$33="Alta",'Mapa final'!$AA$33="Mayor"),CONCATENATE("R5C",'Mapa final'!$O$33),"")</f>
        <v/>
      </c>
      <c r="AD20" s="50" t="str">
        <f>IF(AND('Mapa final'!$Y$34="Alta",'Mapa final'!$AA$34="Mayor"),CONCATENATE("R5C",'Mapa final'!$O$34),"")</f>
        <v/>
      </c>
      <c r="AE20" s="50" t="str">
        <f>IF(AND('Mapa final'!$Y$35="Alta",'Mapa final'!$AA$35="Mayor"),CONCATENATE("R5C",'Mapa final'!$O$35),"")</f>
        <v/>
      </c>
      <c r="AF20" s="50" t="str">
        <f>IF(AND('Mapa final'!$Y$36="Alta",'Mapa final'!$AA$36="Mayor"),CONCATENATE("R5C",'Mapa final'!$O$36),"")</f>
        <v/>
      </c>
      <c r="AG20" s="51" t="str">
        <f>IF(AND('Mapa final'!$Y$37="Alta",'Mapa final'!$AA$37="Mayor"),CONCATENATE("R5C",'Mapa final'!$O$37),"")</f>
        <v/>
      </c>
      <c r="AH20" s="52" t="str">
        <f>IF(AND('Mapa final'!$Y$32="Alta",'Mapa final'!$AA$32="Catastrófico"),CONCATENATE("R5C",'Mapa final'!$O$32),"")</f>
        <v/>
      </c>
      <c r="AI20" s="53" t="str">
        <f>IF(AND('Mapa final'!$Y$33="Alta",'Mapa final'!$AA$33="Catastrófico"),CONCATENATE("R5C",'Mapa final'!$O$33),"")</f>
        <v/>
      </c>
      <c r="AJ20" s="53" t="str">
        <f>IF(AND('Mapa final'!$Y$34="Alta",'Mapa final'!$AA$34="Catastrófico"),CONCATENATE("R5C",'Mapa final'!$O$34),"")</f>
        <v/>
      </c>
      <c r="AK20" s="53" t="str">
        <f>IF(AND('Mapa final'!$Y$35="Alta",'Mapa final'!$AA$35="Catastrófico"),CONCATENATE("R5C",'Mapa final'!$O$35),"")</f>
        <v/>
      </c>
      <c r="AL20" s="53" t="str">
        <f>IF(AND('Mapa final'!$Y$36="Alta",'Mapa final'!$AA$36="Catastrófico"),CONCATENATE("R5C",'Mapa final'!$O$36),"")</f>
        <v/>
      </c>
      <c r="AM20" s="54" t="str">
        <f>IF(AND('Mapa final'!$Y$37="Alta",'Mapa final'!$AA$37="Catastrófico"),CONCATENATE("R5C",'Mapa final'!$O$37),"")</f>
        <v/>
      </c>
      <c r="AN20" s="80"/>
      <c r="AO20" s="276"/>
      <c r="AP20" s="277"/>
      <c r="AQ20" s="277"/>
      <c r="AR20" s="277"/>
      <c r="AS20" s="277"/>
      <c r="AT20" s="278"/>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301"/>
      <c r="C21" s="301"/>
      <c r="D21" s="302"/>
      <c r="E21" s="286"/>
      <c r="F21" s="285"/>
      <c r="G21" s="285"/>
      <c r="H21" s="285"/>
      <c r="I21" s="285"/>
      <c r="J21" s="64" t="e">
        <f>IF(AND('Mapa final'!#REF!="Alta",'Mapa final'!#REF!="Leve"),CONCATENATE("R6C",'Mapa final'!#REF!),"")</f>
        <v>#REF!</v>
      </c>
      <c r="K21" s="65" t="e">
        <f>IF(AND('Mapa final'!#REF!="Alta",'Mapa final'!#REF!="Leve"),CONCATENATE("R6C",'Mapa final'!#REF!),"")</f>
        <v>#REF!</v>
      </c>
      <c r="L21" s="65" t="e">
        <f>IF(AND('Mapa final'!#REF!="Alta",'Mapa final'!#REF!="Leve"),CONCATENATE("R6C",'Mapa final'!#REF!),"")</f>
        <v>#REF!</v>
      </c>
      <c r="M21" s="65" t="e">
        <f>IF(AND('Mapa final'!#REF!="Alta",'Mapa final'!#REF!="Leve"),CONCATENATE("R6C",'Mapa final'!#REF!),"")</f>
        <v>#REF!</v>
      </c>
      <c r="N21" s="65" t="e">
        <f>IF(AND('Mapa final'!#REF!="Alta",'Mapa final'!#REF!="Leve"),CONCATENATE("R6C",'Mapa final'!#REF!),"")</f>
        <v>#REF!</v>
      </c>
      <c r="O21" s="66" t="e">
        <f>IF(AND('Mapa final'!#REF!="Alta",'Mapa final'!#REF!="Leve"),CONCATENATE("R6C",'Mapa final'!#REF!),"")</f>
        <v>#REF!</v>
      </c>
      <c r="P21" s="64" t="e">
        <f>IF(AND('Mapa final'!#REF!="Alta",'Mapa final'!#REF!="Menor"),CONCATENATE("R6C",'Mapa final'!#REF!),"")</f>
        <v>#REF!</v>
      </c>
      <c r="Q21" s="65" t="e">
        <f>IF(AND('Mapa final'!#REF!="Alta",'Mapa final'!#REF!="Menor"),CONCATENATE("R6C",'Mapa final'!#REF!),"")</f>
        <v>#REF!</v>
      </c>
      <c r="R21" s="65" t="e">
        <f>IF(AND('Mapa final'!#REF!="Alta",'Mapa final'!#REF!="Menor"),CONCATENATE("R6C",'Mapa final'!#REF!),"")</f>
        <v>#REF!</v>
      </c>
      <c r="S21" s="65" t="e">
        <f>IF(AND('Mapa final'!#REF!="Alta",'Mapa final'!#REF!="Menor"),CONCATENATE("R6C",'Mapa final'!#REF!),"")</f>
        <v>#REF!</v>
      </c>
      <c r="T21" s="65" t="e">
        <f>IF(AND('Mapa final'!#REF!="Alta",'Mapa final'!#REF!="Menor"),CONCATENATE("R6C",'Mapa final'!#REF!),"")</f>
        <v>#REF!</v>
      </c>
      <c r="U21" s="66" t="e">
        <f>IF(AND('Mapa final'!#REF!="Alta",'Mapa final'!#REF!="Menor"),CONCATENATE("R6C",'Mapa final'!#REF!),"")</f>
        <v>#REF!</v>
      </c>
      <c r="V21" s="49" t="e">
        <f>IF(AND('Mapa final'!#REF!="Alta",'Mapa final'!#REF!="Moderado"),CONCATENATE("R6C",'Mapa final'!#REF!),"")</f>
        <v>#REF!</v>
      </c>
      <c r="W21" s="50" t="e">
        <f>IF(AND('Mapa final'!#REF!="Alta",'Mapa final'!#REF!="Moderado"),CONCATENATE("R6C",'Mapa final'!#REF!),"")</f>
        <v>#REF!</v>
      </c>
      <c r="X21" s="50" t="e">
        <f>IF(AND('Mapa final'!#REF!="Alta",'Mapa final'!#REF!="Moderado"),CONCATENATE("R6C",'Mapa final'!#REF!),"")</f>
        <v>#REF!</v>
      </c>
      <c r="Y21" s="50" t="e">
        <f>IF(AND('Mapa final'!#REF!="Alta",'Mapa final'!#REF!="Moderado"),CONCATENATE("R6C",'Mapa final'!#REF!),"")</f>
        <v>#REF!</v>
      </c>
      <c r="Z21" s="50" t="e">
        <f>IF(AND('Mapa final'!#REF!="Alta",'Mapa final'!#REF!="Moderado"),CONCATENATE("R6C",'Mapa final'!#REF!),"")</f>
        <v>#REF!</v>
      </c>
      <c r="AA21" s="51" t="e">
        <f>IF(AND('Mapa final'!#REF!="Alta",'Mapa final'!#REF!="Moderado"),CONCATENATE("R6C",'Mapa final'!#REF!),"")</f>
        <v>#REF!</v>
      </c>
      <c r="AB21" s="49" t="e">
        <f>IF(AND('Mapa final'!#REF!="Alta",'Mapa final'!#REF!="Mayor"),CONCATENATE("R6C",'Mapa final'!#REF!),"")</f>
        <v>#REF!</v>
      </c>
      <c r="AC21" s="50" t="e">
        <f>IF(AND('Mapa final'!#REF!="Alta",'Mapa final'!#REF!="Mayor"),CONCATENATE("R6C",'Mapa final'!#REF!),"")</f>
        <v>#REF!</v>
      </c>
      <c r="AD21" s="50" t="e">
        <f>IF(AND('Mapa final'!#REF!="Alta",'Mapa final'!#REF!="Mayor"),CONCATENATE("R6C",'Mapa final'!#REF!),"")</f>
        <v>#REF!</v>
      </c>
      <c r="AE21" s="50" t="e">
        <f>IF(AND('Mapa final'!#REF!="Alta",'Mapa final'!#REF!="Mayor"),CONCATENATE("R6C",'Mapa final'!#REF!),"")</f>
        <v>#REF!</v>
      </c>
      <c r="AF21" s="50" t="e">
        <f>IF(AND('Mapa final'!#REF!="Alta",'Mapa final'!#REF!="Mayor"),CONCATENATE("R6C",'Mapa final'!#REF!),"")</f>
        <v>#REF!</v>
      </c>
      <c r="AG21" s="51" t="e">
        <f>IF(AND('Mapa final'!#REF!="Alta",'Mapa final'!#REF!="Mayor"),CONCATENATE("R6C",'Mapa final'!#REF!),"")</f>
        <v>#REF!</v>
      </c>
      <c r="AH21" s="52" t="e">
        <f>IF(AND('Mapa final'!#REF!="Alta",'Mapa final'!#REF!="Catastrófico"),CONCATENATE("R6C",'Mapa final'!#REF!),"")</f>
        <v>#REF!</v>
      </c>
      <c r="AI21" s="53" t="e">
        <f>IF(AND('Mapa final'!#REF!="Alta",'Mapa final'!#REF!="Catastrófico"),CONCATENATE("R6C",'Mapa final'!#REF!),"")</f>
        <v>#REF!</v>
      </c>
      <c r="AJ21" s="53" t="e">
        <f>IF(AND('Mapa final'!#REF!="Alta",'Mapa final'!#REF!="Catastrófico"),CONCATENATE("R6C",'Mapa final'!#REF!),"")</f>
        <v>#REF!</v>
      </c>
      <c r="AK21" s="53" t="e">
        <f>IF(AND('Mapa final'!#REF!="Alta",'Mapa final'!#REF!="Catastrófico"),CONCATENATE("R6C",'Mapa final'!#REF!),"")</f>
        <v>#REF!</v>
      </c>
      <c r="AL21" s="53" t="e">
        <f>IF(AND('Mapa final'!#REF!="Alta",'Mapa final'!#REF!="Catastrófico"),CONCATENATE("R6C",'Mapa final'!#REF!),"")</f>
        <v>#REF!</v>
      </c>
      <c r="AM21" s="54" t="e">
        <f>IF(AND('Mapa final'!#REF!="Alta",'Mapa final'!#REF!="Catastrófico"),CONCATENATE("R6C",'Mapa final'!#REF!),"")</f>
        <v>#REF!</v>
      </c>
      <c r="AN21" s="80"/>
      <c r="AO21" s="276"/>
      <c r="AP21" s="277"/>
      <c r="AQ21" s="277"/>
      <c r="AR21" s="277"/>
      <c r="AS21" s="277"/>
      <c r="AT21" s="278"/>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301"/>
      <c r="C22" s="301"/>
      <c r="D22" s="302"/>
      <c r="E22" s="286"/>
      <c r="F22" s="285"/>
      <c r="G22" s="285"/>
      <c r="H22" s="285"/>
      <c r="I22" s="285"/>
      <c r="J22" s="64" t="str">
        <f>IF(AND('Mapa final'!$Y$38="Alta",'Mapa final'!$AA$38="Leve"),CONCATENATE("R7C",'Mapa final'!$O$38),"")</f>
        <v/>
      </c>
      <c r="K22" s="65" t="str">
        <f>IF(AND('Mapa final'!$Y$39="Alta",'Mapa final'!$AA$39="Leve"),CONCATENATE("R7C",'Mapa final'!$O$39),"")</f>
        <v/>
      </c>
      <c r="L22" s="65" t="str">
        <f>IF(AND('Mapa final'!$Y$40="Alta",'Mapa final'!$AA$40="Leve"),CONCATENATE("R7C",'Mapa final'!$O$40),"")</f>
        <v/>
      </c>
      <c r="M22" s="65" t="str">
        <f>IF(AND('Mapa final'!$Y$41="Alta",'Mapa final'!$AA$41="Leve"),CONCATENATE("R7C",'Mapa final'!$O$41),"")</f>
        <v/>
      </c>
      <c r="N22" s="65" t="str">
        <f>IF(AND('Mapa final'!$Y$42="Alta",'Mapa final'!$AA$42="Leve"),CONCATENATE("R7C",'Mapa final'!$O$42),"")</f>
        <v/>
      </c>
      <c r="O22" s="66" t="str">
        <f>IF(AND('Mapa final'!$Y$43="Alta",'Mapa final'!$AA$43="Leve"),CONCATENATE("R7C",'Mapa final'!$O$43),"")</f>
        <v/>
      </c>
      <c r="P22" s="64" t="str">
        <f>IF(AND('Mapa final'!$Y$38="Alta",'Mapa final'!$AA$38="Menor"),CONCATENATE("R7C",'Mapa final'!$O$38),"")</f>
        <v/>
      </c>
      <c r="Q22" s="65" t="str">
        <f>IF(AND('Mapa final'!$Y$39="Alta",'Mapa final'!$AA$39="Menor"),CONCATENATE("R7C",'Mapa final'!$O$39),"")</f>
        <v/>
      </c>
      <c r="R22" s="65" t="str">
        <f>IF(AND('Mapa final'!$Y$40="Alta",'Mapa final'!$AA$40="Menor"),CONCATENATE("R7C",'Mapa final'!$O$40),"")</f>
        <v/>
      </c>
      <c r="S22" s="65" t="str">
        <f>IF(AND('Mapa final'!$Y$41="Alta",'Mapa final'!$AA$41="Menor"),CONCATENATE("R7C",'Mapa final'!$O$41),"")</f>
        <v/>
      </c>
      <c r="T22" s="65" t="str">
        <f>IF(AND('Mapa final'!$Y$42="Alta",'Mapa final'!$AA$42="Menor"),CONCATENATE("R7C",'Mapa final'!$O$42),"")</f>
        <v/>
      </c>
      <c r="U22" s="66" t="str">
        <f>IF(AND('Mapa final'!$Y$43="Alta",'Mapa final'!$AA$43="Menor"),CONCATENATE("R7C",'Mapa final'!$O$43),"")</f>
        <v/>
      </c>
      <c r="V22" s="49" t="str">
        <f>IF(AND('Mapa final'!$Y$38="Alta",'Mapa final'!$AA$38="Moderado"),CONCATENATE("R7C",'Mapa final'!$O$38),"")</f>
        <v/>
      </c>
      <c r="W22" s="50" t="str">
        <f>IF(AND('Mapa final'!$Y$39="Alta",'Mapa final'!$AA$39="Moderado"),CONCATENATE("R7C",'Mapa final'!$O$39),"")</f>
        <v/>
      </c>
      <c r="X22" s="50" t="str">
        <f>IF(AND('Mapa final'!$Y$40="Alta",'Mapa final'!$AA$40="Moderado"),CONCATENATE("R7C",'Mapa final'!$O$40),"")</f>
        <v/>
      </c>
      <c r="Y22" s="50" t="str">
        <f>IF(AND('Mapa final'!$Y$41="Alta",'Mapa final'!$AA$41="Moderado"),CONCATENATE("R7C",'Mapa final'!$O$41),"")</f>
        <v/>
      </c>
      <c r="Z22" s="50" t="str">
        <f>IF(AND('Mapa final'!$Y$42="Alta",'Mapa final'!$AA$42="Moderado"),CONCATENATE("R7C",'Mapa final'!$O$42),"")</f>
        <v/>
      </c>
      <c r="AA22" s="51" t="str">
        <f>IF(AND('Mapa final'!$Y$43="Alta",'Mapa final'!$AA$43="Moderado"),CONCATENATE("R7C",'Mapa final'!$O$43),"")</f>
        <v/>
      </c>
      <c r="AB22" s="49" t="str">
        <f>IF(AND('Mapa final'!$Y$38="Alta",'Mapa final'!$AA$38="Mayor"),CONCATENATE("R7C",'Mapa final'!$O$38),"")</f>
        <v/>
      </c>
      <c r="AC22" s="50" t="str">
        <f>IF(AND('Mapa final'!$Y$39="Alta",'Mapa final'!$AA$39="Mayor"),CONCATENATE("R7C",'Mapa final'!$O$39),"")</f>
        <v/>
      </c>
      <c r="AD22" s="50" t="str">
        <f>IF(AND('Mapa final'!$Y$40="Alta",'Mapa final'!$AA$40="Mayor"),CONCATENATE("R7C",'Mapa final'!$O$40),"")</f>
        <v/>
      </c>
      <c r="AE22" s="50" t="str">
        <f>IF(AND('Mapa final'!$Y$41="Alta",'Mapa final'!$AA$41="Mayor"),CONCATENATE("R7C",'Mapa final'!$O$41),"")</f>
        <v/>
      </c>
      <c r="AF22" s="50" t="str">
        <f>IF(AND('Mapa final'!$Y$42="Alta",'Mapa final'!$AA$42="Mayor"),CONCATENATE("R7C",'Mapa final'!$O$42),"")</f>
        <v/>
      </c>
      <c r="AG22" s="51" t="str">
        <f>IF(AND('Mapa final'!$Y$43="Alta",'Mapa final'!$AA$43="Mayor"),CONCATENATE("R7C",'Mapa final'!$O$43),"")</f>
        <v/>
      </c>
      <c r="AH22" s="52" t="str">
        <f>IF(AND('Mapa final'!$Y$38="Alta",'Mapa final'!$AA$38="Catastrófico"),CONCATENATE("R7C",'Mapa final'!$O$38),"")</f>
        <v/>
      </c>
      <c r="AI22" s="53" t="str">
        <f>IF(AND('Mapa final'!$Y$39="Alta",'Mapa final'!$AA$39="Catastrófico"),CONCATENATE("R7C",'Mapa final'!$O$39),"")</f>
        <v/>
      </c>
      <c r="AJ22" s="53" t="str">
        <f>IF(AND('Mapa final'!$Y$40="Alta",'Mapa final'!$AA$40="Catastrófico"),CONCATENATE("R7C",'Mapa final'!$O$40),"")</f>
        <v/>
      </c>
      <c r="AK22" s="53" t="str">
        <f>IF(AND('Mapa final'!$Y$41="Alta",'Mapa final'!$AA$41="Catastrófico"),CONCATENATE("R7C",'Mapa final'!$O$41),"")</f>
        <v/>
      </c>
      <c r="AL22" s="53" t="str">
        <f>IF(AND('Mapa final'!$Y$42="Alta",'Mapa final'!$AA$42="Catastrófico"),CONCATENATE("R7C",'Mapa final'!$O$42),"")</f>
        <v/>
      </c>
      <c r="AM22" s="54" t="str">
        <f>IF(AND('Mapa final'!$Y$43="Alta",'Mapa final'!$AA$43="Catastrófico"),CONCATENATE("R7C",'Mapa final'!$O$43),"")</f>
        <v/>
      </c>
      <c r="AN22" s="80"/>
      <c r="AO22" s="276"/>
      <c r="AP22" s="277"/>
      <c r="AQ22" s="277"/>
      <c r="AR22" s="277"/>
      <c r="AS22" s="277"/>
      <c r="AT22" s="278"/>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301"/>
      <c r="C23" s="301"/>
      <c r="D23" s="302"/>
      <c r="E23" s="286"/>
      <c r="F23" s="285"/>
      <c r="G23" s="285"/>
      <c r="H23" s="285"/>
      <c r="I23" s="285"/>
      <c r="J23" s="64" t="str">
        <f>IF(AND('Mapa final'!$Y$44="Alta",'Mapa final'!$AA$44="Leve"),CONCATENATE("R8C",'Mapa final'!$O$44),"")</f>
        <v/>
      </c>
      <c r="K23" s="65" t="str">
        <f>IF(AND('Mapa final'!$Y$45="Alta",'Mapa final'!$AA$45="Leve"),CONCATENATE("R8C",'Mapa final'!$O$45),"")</f>
        <v/>
      </c>
      <c r="L23" s="65" t="str">
        <f>IF(AND('Mapa final'!$Y$46="Alta",'Mapa final'!$AA$46="Leve"),CONCATENATE("R8C",'Mapa final'!$O$46),"")</f>
        <v/>
      </c>
      <c r="M23" s="65" t="str">
        <f>IF(AND('Mapa final'!$Y$47="Alta",'Mapa final'!$AA$47="Leve"),CONCATENATE("R8C",'Mapa final'!$O$47),"")</f>
        <v/>
      </c>
      <c r="N23" s="65" t="str">
        <f>IF(AND('Mapa final'!$Y$48="Alta",'Mapa final'!$AA$48="Leve"),CONCATENATE("R8C",'Mapa final'!$O$48),"")</f>
        <v/>
      </c>
      <c r="O23" s="66" t="str">
        <f>IF(AND('Mapa final'!$Y$49="Alta",'Mapa final'!$AA$49="Leve"),CONCATENATE("R8C",'Mapa final'!$O$49),"")</f>
        <v/>
      </c>
      <c r="P23" s="64" t="str">
        <f>IF(AND('Mapa final'!$Y$44="Alta",'Mapa final'!$AA$44="Menor"),CONCATENATE("R8C",'Mapa final'!$O$44),"")</f>
        <v/>
      </c>
      <c r="Q23" s="65" t="str">
        <f>IF(AND('Mapa final'!$Y$45="Alta",'Mapa final'!$AA$45="Menor"),CONCATENATE("R8C",'Mapa final'!$O$45),"")</f>
        <v/>
      </c>
      <c r="R23" s="65" t="str">
        <f>IF(AND('Mapa final'!$Y$46="Alta",'Mapa final'!$AA$46="Menor"),CONCATENATE("R8C",'Mapa final'!$O$46),"")</f>
        <v/>
      </c>
      <c r="S23" s="65" t="str">
        <f>IF(AND('Mapa final'!$Y$47="Alta",'Mapa final'!$AA$47="Menor"),CONCATENATE("R8C",'Mapa final'!$O$47),"")</f>
        <v/>
      </c>
      <c r="T23" s="65" t="str">
        <f>IF(AND('Mapa final'!$Y$48="Alta",'Mapa final'!$AA$48="Menor"),CONCATENATE("R8C",'Mapa final'!$O$48),"")</f>
        <v/>
      </c>
      <c r="U23" s="66" t="str">
        <f>IF(AND('Mapa final'!$Y$49="Alta",'Mapa final'!$AA$49="Menor"),CONCATENATE("R8C",'Mapa final'!$O$49),"")</f>
        <v/>
      </c>
      <c r="V23" s="49" t="str">
        <f>IF(AND('Mapa final'!$Y$44="Alta",'Mapa final'!$AA$44="Moderado"),CONCATENATE("R8C",'Mapa final'!$O$44),"")</f>
        <v/>
      </c>
      <c r="W23" s="50" t="str">
        <f>IF(AND('Mapa final'!$Y$45="Alta",'Mapa final'!$AA$45="Moderado"),CONCATENATE("R8C",'Mapa final'!$O$45),"")</f>
        <v/>
      </c>
      <c r="X23" s="50" t="str">
        <f>IF(AND('Mapa final'!$Y$46="Alta",'Mapa final'!$AA$46="Moderado"),CONCATENATE("R8C",'Mapa final'!$O$46),"")</f>
        <v/>
      </c>
      <c r="Y23" s="50" t="str">
        <f>IF(AND('Mapa final'!$Y$47="Alta",'Mapa final'!$AA$47="Moderado"),CONCATENATE("R8C",'Mapa final'!$O$47),"")</f>
        <v/>
      </c>
      <c r="Z23" s="50" t="str">
        <f>IF(AND('Mapa final'!$Y$48="Alta",'Mapa final'!$AA$48="Moderado"),CONCATENATE("R8C",'Mapa final'!$O$48),"")</f>
        <v/>
      </c>
      <c r="AA23" s="51" t="str">
        <f>IF(AND('Mapa final'!$Y$49="Alta",'Mapa final'!$AA$49="Moderado"),CONCATENATE("R8C",'Mapa final'!$O$49),"")</f>
        <v/>
      </c>
      <c r="AB23" s="49" t="str">
        <f>IF(AND('Mapa final'!$Y$44="Alta",'Mapa final'!$AA$44="Mayor"),CONCATENATE("R8C",'Mapa final'!$O$44),"")</f>
        <v/>
      </c>
      <c r="AC23" s="50" t="str">
        <f>IF(AND('Mapa final'!$Y$45="Alta",'Mapa final'!$AA$45="Mayor"),CONCATENATE("R8C",'Mapa final'!$O$45),"")</f>
        <v/>
      </c>
      <c r="AD23" s="50" t="str">
        <f>IF(AND('Mapa final'!$Y$46="Alta",'Mapa final'!$AA$46="Mayor"),CONCATENATE("R8C",'Mapa final'!$O$46),"")</f>
        <v/>
      </c>
      <c r="AE23" s="50" t="str">
        <f>IF(AND('Mapa final'!$Y$47="Alta",'Mapa final'!$AA$47="Mayor"),CONCATENATE("R8C",'Mapa final'!$O$47),"")</f>
        <v/>
      </c>
      <c r="AF23" s="50" t="str">
        <f>IF(AND('Mapa final'!$Y$48="Alta",'Mapa final'!$AA$48="Mayor"),CONCATENATE("R8C",'Mapa final'!$O$48),"")</f>
        <v/>
      </c>
      <c r="AG23" s="51" t="str">
        <f>IF(AND('Mapa final'!$Y$49="Alta",'Mapa final'!$AA$49="Mayor"),CONCATENATE("R8C",'Mapa final'!$O$49),"")</f>
        <v/>
      </c>
      <c r="AH23" s="52" t="str">
        <f>IF(AND('Mapa final'!$Y$44="Alta",'Mapa final'!$AA$44="Catastrófico"),CONCATENATE("R8C",'Mapa final'!$O$44),"")</f>
        <v/>
      </c>
      <c r="AI23" s="53" t="str">
        <f>IF(AND('Mapa final'!$Y$45="Alta",'Mapa final'!$AA$45="Catastrófico"),CONCATENATE("R8C",'Mapa final'!$O$45),"")</f>
        <v/>
      </c>
      <c r="AJ23" s="53" t="str">
        <f>IF(AND('Mapa final'!$Y$46="Alta",'Mapa final'!$AA$46="Catastrófico"),CONCATENATE("R8C",'Mapa final'!$O$46),"")</f>
        <v/>
      </c>
      <c r="AK23" s="53" t="str">
        <f>IF(AND('Mapa final'!$Y$47="Alta",'Mapa final'!$AA$47="Catastrófico"),CONCATENATE("R8C",'Mapa final'!$O$47),"")</f>
        <v/>
      </c>
      <c r="AL23" s="53" t="str">
        <f>IF(AND('Mapa final'!$Y$48="Alta",'Mapa final'!$AA$48="Catastrófico"),CONCATENATE("R8C",'Mapa final'!$O$48),"")</f>
        <v/>
      </c>
      <c r="AM23" s="54" t="str">
        <f>IF(AND('Mapa final'!$Y$49="Alta",'Mapa final'!$AA$49="Catastrófico"),CONCATENATE("R8C",'Mapa final'!$O$49),"")</f>
        <v/>
      </c>
      <c r="AN23" s="80"/>
      <c r="AO23" s="276"/>
      <c r="AP23" s="277"/>
      <c r="AQ23" s="277"/>
      <c r="AR23" s="277"/>
      <c r="AS23" s="277"/>
      <c r="AT23" s="278"/>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301"/>
      <c r="C24" s="301"/>
      <c r="D24" s="302"/>
      <c r="E24" s="286"/>
      <c r="F24" s="285"/>
      <c r="G24" s="285"/>
      <c r="H24" s="285"/>
      <c r="I24" s="285"/>
      <c r="J24" s="64" t="str">
        <f>IF(AND('Mapa final'!$Y$50="Alta",'Mapa final'!$AA$50="Leve"),CONCATENATE("R9C",'Mapa final'!$O$50),"")</f>
        <v/>
      </c>
      <c r="K24" s="65" t="str">
        <f>IF(AND('Mapa final'!$Y$51="Alta",'Mapa final'!$AA$51="Leve"),CONCATENATE("R9C",'Mapa final'!$O$51),"")</f>
        <v/>
      </c>
      <c r="L24" s="65" t="str">
        <f>IF(AND('Mapa final'!$Y$52="Alta",'Mapa final'!$AA$52="Leve"),CONCATENATE("R9C",'Mapa final'!$O$52),"")</f>
        <v/>
      </c>
      <c r="M24" s="65" t="str">
        <f>IF(AND('Mapa final'!$Y$53="Alta",'Mapa final'!$AA$53="Leve"),CONCATENATE("R9C",'Mapa final'!$O$53),"")</f>
        <v/>
      </c>
      <c r="N24" s="65" t="str">
        <f>IF(AND('Mapa final'!$Y$54="Alta",'Mapa final'!$AA$54="Leve"),CONCATENATE("R9C",'Mapa final'!$O$54),"")</f>
        <v/>
      </c>
      <c r="O24" s="66" t="str">
        <f>IF(AND('Mapa final'!$Y$55="Alta",'Mapa final'!$AA$55="Leve"),CONCATENATE("R9C",'Mapa final'!$O$55),"")</f>
        <v/>
      </c>
      <c r="P24" s="64" t="str">
        <f>IF(AND('Mapa final'!$Y$50="Alta",'Mapa final'!$AA$50="Menor"),CONCATENATE("R9C",'Mapa final'!$O$50),"")</f>
        <v/>
      </c>
      <c r="Q24" s="65" t="str">
        <f>IF(AND('Mapa final'!$Y$51="Alta",'Mapa final'!$AA$51="Menor"),CONCATENATE("R9C",'Mapa final'!$O$51),"")</f>
        <v/>
      </c>
      <c r="R24" s="65" t="str">
        <f>IF(AND('Mapa final'!$Y$52="Alta",'Mapa final'!$AA$52="Menor"),CONCATENATE("R9C",'Mapa final'!$O$52),"")</f>
        <v/>
      </c>
      <c r="S24" s="65" t="str">
        <f>IF(AND('Mapa final'!$Y$53="Alta",'Mapa final'!$AA$53="Menor"),CONCATENATE("R9C",'Mapa final'!$O$53),"")</f>
        <v/>
      </c>
      <c r="T24" s="65" t="str">
        <f>IF(AND('Mapa final'!$Y$54="Alta",'Mapa final'!$AA$54="Menor"),CONCATENATE("R9C",'Mapa final'!$O$54),"")</f>
        <v/>
      </c>
      <c r="U24" s="66" t="str">
        <f>IF(AND('Mapa final'!$Y$55="Alta",'Mapa final'!$AA$55="Menor"),CONCATENATE("R9C",'Mapa final'!$O$55),"")</f>
        <v/>
      </c>
      <c r="V24" s="49" t="str">
        <f>IF(AND('Mapa final'!$Y$50="Alta",'Mapa final'!$AA$50="Moderado"),CONCATENATE("R9C",'Mapa final'!$O$50),"")</f>
        <v/>
      </c>
      <c r="W24" s="50" t="str">
        <f>IF(AND('Mapa final'!$Y$51="Alta",'Mapa final'!$AA$51="Moderado"),CONCATENATE("R9C",'Mapa final'!$O$51),"")</f>
        <v/>
      </c>
      <c r="X24" s="50" t="str">
        <f>IF(AND('Mapa final'!$Y$52="Alta",'Mapa final'!$AA$52="Moderado"),CONCATENATE("R9C",'Mapa final'!$O$52),"")</f>
        <v/>
      </c>
      <c r="Y24" s="50" t="str">
        <f>IF(AND('Mapa final'!$Y$53="Alta",'Mapa final'!$AA$53="Moderado"),CONCATENATE("R9C",'Mapa final'!$O$53),"")</f>
        <v/>
      </c>
      <c r="Z24" s="50" t="str">
        <f>IF(AND('Mapa final'!$Y$54="Alta",'Mapa final'!$AA$54="Moderado"),CONCATENATE("R9C",'Mapa final'!$O$54),"")</f>
        <v/>
      </c>
      <c r="AA24" s="51" t="str">
        <f>IF(AND('Mapa final'!$Y$55="Alta",'Mapa final'!$AA$55="Moderado"),CONCATENATE("R9C",'Mapa final'!$O$55),"")</f>
        <v/>
      </c>
      <c r="AB24" s="49" t="str">
        <f>IF(AND('Mapa final'!$Y$50="Alta",'Mapa final'!$AA$50="Mayor"),CONCATENATE("R9C",'Mapa final'!$O$50),"")</f>
        <v/>
      </c>
      <c r="AC24" s="50" t="str">
        <f>IF(AND('Mapa final'!$Y$51="Alta",'Mapa final'!$AA$51="Mayor"),CONCATENATE("R9C",'Mapa final'!$O$51),"")</f>
        <v/>
      </c>
      <c r="AD24" s="50" t="str">
        <f>IF(AND('Mapa final'!$Y$52="Alta",'Mapa final'!$AA$52="Mayor"),CONCATENATE("R9C",'Mapa final'!$O$52),"")</f>
        <v/>
      </c>
      <c r="AE24" s="50" t="str">
        <f>IF(AND('Mapa final'!$Y$53="Alta",'Mapa final'!$AA$53="Mayor"),CONCATENATE("R9C",'Mapa final'!$O$53),"")</f>
        <v/>
      </c>
      <c r="AF24" s="50" t="str">
        <f>IF(AND('Mapa final'!$Y$54="Alta",'Mapa final'!$AA$54="Mayor"),CONCATENATE("R9C",'Mapa final'!$O$54),"")</f>
        <v/>
      </c>
      <c r="AG24" s="51" t="str">
        <f>IF(AND('Mapa final'!$Y$55="Alta",'Mapa final'!$AA$55="Mayor"),CONCATENATE("R9C",'Mapa final'!$O$55),"")</f>
        <v/>
      </c>
      <c r="AH24" s="52" t="str">
        <f>IF(AND('Mapa final'!$Y$50="Alta",'Mapa final'!$AA$50="Catastrófico"),CONCATENATE("R9C",'Mapa final'!$O$50),"")</f>
        <v/>
      </c>
      <c r="AI24" s="53" t="str">
        <f>IF(AND('Mapa final'!$Y$51="Alta",'Mapa final'!$AA$51="Catastrófico"),CONCATENATE("R9C",'Mapa final'!$O$51),"")</f>
        <v/>
      </c>
      <c r="AJ24" s="53" t="str">
        <f>IF(AND('Mapa final'!$Y$52="Alta",'Mapa final'!$AA$52="Catastrófico"),CONCATENATE("R9C",'Mapa final'!$O$52),"")</f>
        <v/>
      </c>
      <c r="AK24" s="53" t="str">
        <f>IF(AND('Mapa final'!$Y$53="Alta",'Mapa final'!$AA$53="Catastrófico"),CONCATENATE("R9C",'Mapa final'!$O$53),"")</f>
        <v/>
      </c>
      <c r="AL24" s="53" t="str">
        <f>IF(AND('Mapa final'!$Y$54="Alta",'Mapa final'!$AA$54="Catastrófico"),CONCATENATE("R9C",'Mapa final'!$O$54),"")</f>
        <v/>
      </c>
      <c r="AM24" s="54" t="str">
        <f>IF(AND('Mapa final'!$Y$55="Alta",'Mapa final'!$AA$55="Catastrófico"),CONCATENATE("R9C",'Mapa final'!$O$55),"")</f>
        <v/>
      </c>
      <c r="AN24" s="80"/>
      <c r="AO24" s="276"/>
      <c r="AP24" s="277"/>
      <c r="AQ24" s="277"/>
      <c r="AR24" s="277"/>
      <c r="AS24" s="277"/>
      <c r="AT24" s="278"/>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301"/>
      <c r="C25" s="301"/>
      <c r="D25" s="302"/>
      <c r="E25" s="287"/>
      <c r="F25" s="288"/>
      <c r="G25" s="288"/>
      <c r="H25" s="288"/>
      <c r="I25" s="288"/>
      <c r="J25" s="67" t="str">
        <f>IF(AND('Mapa final'!$Y$56="Alta",'Mapa final'!$AA$56="Leve"),CONCATENATE("R10C",'Mapa final'!$O$56),"")</f>
        <v/>
      </c>
      <c r="K25" s="68" t="str">
        <f>IF(AND('Mapa final'!$Y$57="Alta",'Mapa final'!$AA$57="Leve"),CONCATENATE("R10C",'Mapa final'!$O$57),"")</f>
        <v/>
      </c>
      <c r="L25" s="68" t="str">
        <f>IF(AND('Mapa final'!$Y$58="Alta",'Mapa final'!$AA$58="Leve"),CONCATENATE("R10C",'Mapa final'!$O$58),"")</f>
        <v/>
      </c>
      <c r="M25" s="68" t="str">
        <f>IF(AND('Mapa final'!$Y$59="Alta",'Mapa final'!$AA$59="Leve"),CONCATENATE("R10C",'Mapa final'!$O$59),"")</f>
        <v/>
      </c>
      <c r="N25" s="68" t="str">
        <f>IF(AND('Mapa final'!$Y$60="Alta",'Mapa final'!$AA$60="Leve"),CONCATENATE("R10C",'Mapa final'!$O$60),"")</f>
        <v/>
      </c>
      <c r="O25" s="69" t="str">
        <f>IF(AND('Mapa final'!$Y$61="Alta",'Mapa final'!$AA$61="Leve"),CONCATENATE("R10C",'Mapa final'!$O$61),"")</f>
        <v/>
      </c>
      <c r="P25" s="67" t="str">
        <f>IF(AND('Mapa final'!$Y$56="Alta",'Mapa final'!$AA$56="Menor"),CONCATENATE("R10C",'Mapa final'!$O$56),"")</f>
        <v/>
      </c>
      <c r="Q25" s="68" t="str">
        <f>IF(AND('Mapa final'!$Y$57="Alta",'Mapa final'!$AA$57="Menor"),CONCATENATE("R10C",'Mapa final'!$O$57),"")</f>
        <v/>
      </c>
      <c r="R25" s="68" t="str">
        <f>IF(AND('Mapa final'!$Y$58="Alta",'Mapa final'!$AA$58="Menor"),CONCATENATE("R10C",'Mapa final'!$O$58),"")</f>
        <v/>
      </c>
      <c r="S25" s="68" t="str">
        <f>IF(AND('Mapa final'!$Y$59="Alta",'Mapa final'!$AA$59="Menor"),CONCATENATE("R10C",'Mapa final'!$O$59),"")</f>
        <v/>
      </c>
      <c r="T25" s="68" t="str">
        <f>IF(AND('Mapa final'!$Y$60="Alta",'Mapa final'!$AA$60="Menor"),CONCATENATE("R10C",'Mapa final'!$O$60),"")</f>
        <v/>
      </c>
      <c r="U25" s="69" t="str">
        <f>IF(AND('Mapa final'!$Y$61="Alta",'Mapa final'!$AA$61="Menor"),CONCATENATE("R10C",'Mapa final'!$O$61),"")</f>
        <v/>
      </c>
      <c r="V25" s="55" t="str">
        <f>IF(AND('Mapa final'!$Y$56="Alta",'Mapa final'!$AA$56="Moderado"),CONCATENATE("R10C",'Mapa final'!$O$56),"")</f>
        <v/>
      </c>
      <c r="W25" s="56" t="str">
        <f>IF(AND('Mapa final'!$Y$57="Alta",'Mapa final'!$AA$57="Moderado"),CONCATENATE("R10C",'Mapa final'!$O$57),"")</f>
        <v/>
      </c>
      <c r="X25" s="56" t="str">
        <f>IF(AND('Mapa final'!$Y$58="Alta",'Mapa final'!$AA$58="Moderado"),CONCATENATE("R10C",'Mapa final'!$O$58),"")</f>
        <v/>
      </c>
      <c r="Y25" s="56" t="str">
        <f>IF(AND('Mapa final'!$Y$59="Alta",'Mapa final'!$AA$59="Moderado"),CONCATENATE("R10C",'Mapa final'!$O$59),"")</f>
        <v/>
      </c>
      <c r="Z25" s="56" t="str">
        <f>IF(AND('Mapa final'!$Y$60="Alta",'Mapa final'!$AA$60="Moderado"),CONCATENATE("R10C",'Mapa final'!$O$60),"")</f>
        <v/>
      </c>
      <c r="AA25" s="57" t="str">
        <f>IF(AND('Mapa final'!$Y$61="Alta",'Mapa final'!$AA$61="Moderado"),CONCATENATE("R10C",'Mapa final'!$O$61),"")</f>
        <v/>
      </c>
      <c r="AB25" s="55" t="str">
        <f>IF(AND('Mapa final'!$Y$56="Alta",'Mapa final'!$AA$56="Mayor"),CONCATENATE("R10C",'Mapa final'!$O$56),"")</f>
        <v/>
      </c>
      <c r="AC25" s="56" t="str">
        <f>IF(AND('Mapa final'!$Y$57="Alta",'Mapa final'!$AA$57="Mayor"),CONCATENATE("R10C",'Mapa final'!$O$57),"")</f>
        <v/>
      </c>
      <c r="AD25" s="56" t="str">
        <f>IF(AND('Mapa final'!$Y$58="Alta",'Mapa final'!$AA$58="Mayor"),CONCATENATE("R10C",'Mapa final'!$O$58),"")</f>
        <v/>
      </c>
      <c r="AE25" s="56" t="str">
        <f>IF(AND('Mapa final'!$Y$59="Alta",'Mapa final'!$AA$59="Mayor"),CONCATENATE("R10C",'Mapa final'!$O$59),"")</f>
        <v/>
      </c>
      <c r="AF25" s="56" t="str">
        <f>IF(AND('Mapa final'!$Y$60="Alta",'Mapa final'!$AA$60="Mayor"),CONCATENATE("R10C",'Mapa final'!$O$60),"")</f>
        <v/>
      </c>
      <c r="AG25" s="57" t="str">
        <f>IF(AND('Mapa final'!$Y$61="Alta",'Mapa final'!$AA$61="Mayor"),CONCATENATE("R10C",'Mapa final'!$O$61),"")</f>
        <v/>
      </c>
      <c r="AH25" s="58" t="str">
        <f>IF(AND('Mapa final'!$Y$56="Alta",'Mapa final'!$AA$56="Catastrófico"),CONCATENATE("R10C",'Mapa final'!$O$56),"")</f>
        <v/>
      </c>
      <c r="AI25" s="59" t="str">
        <f>IF(AND('Mapa final'!$Y$57="Alta",'Mapa final'!$AA$57="Catastrófico"),CONCATENATE("R10C",'Mapa final'!$O$57),"")</f>
        <v/>
      </c>
      <c r="AJ25" s="59" t="str">
        <f>IF(AND('Mapa final'!$Y$58="Alta",'Mapa final'!$AA$58="Catastrófico"),CONCATENATE("R10C",'Mapa final'!$O$58),"")</f>
        <v/>
      </c>
      <c r="AK25" s="59" t="str">
        <f>IF(AND('Mapa final'!$Y$59="Alta",'Mapa final'!$AA$59="Catastrófico"),CONCATENATE("R10C",'Mapa final'!$O$59),"")</f>
        <v/>
      </c>
      <c r="AL25" s="59" t="str">
        <f>IF(AND('Mapa final'!$Y$60="Alta",'Mapa final'!$AA$60="Catastrófico"),CONCATENATE("R10C",'Mapa final'!$O$60),"")</f>
        <v/>
      </c>
      <c r="AM25" s="60" t="str">
        <f>IF(AND('Mapa final'!$Y$61="Alta",'Mapa final'!$AA$61="Catastrófico"),CONCATENATE("R10C",'Mapa final'!$O$61),"")</f>
        <v/>
      </c>
      <c r="AN25" s="80"/>
      <c r="AO25" s="279"/>
      <c r="AP25" s="280"/>
      <c r="AQ25" s="280"/>
      <c r="AR25" s="280"/>
      <c r="AS25" s="280"/>
      <c r="AT25" s="281"/>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301"/>
      <c r="C26" s="301"/>
      <c r="D26" s="302"/>
      <c r="E26" s="282" t="s">
        <v>117</v>
      </c>
      <c r="F26" s="283"/>
      <c r="G26" s="283"/>
      <c r="H26" s="283"/>
      <c r="I26" s="303"/>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15" t="s">
        <v>81</v>
      </c>
      <c r="AP26" s="316"/>
      <c r="AQ26" s="316"/>
      <c r="AR26" s="316"/>
      <c r="AS26" s="316"/>
      <c r="AT26" s="317"/>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301"/>
      <c r="C27" s="301"/>
      <c r="D27" s="302"/>
      <c r="E27" s="284"/>
      <c r="F27" s="285"/>
      <c r="G27" s="285"/>
      <c r="H27" s="285"/>
      <c r="I27" s="304"/>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318"/>
      <c r="AP27" s="319"/>
      <c r="AQ27" s="319"/>
      <c r="AR27" s="319"/>
      <c r="AS27" s="319"/>
      <c r="AT27" s="32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301"/>
      <c r="C28" s="301"/>
      <c r="D28" s="302"/>
      <c r="E28" s="286"/>
      <c r="F28" s="285"/>
      <c r="G28" s="285"/>
      <c r="H28" s="285"/>
      <c r="I28" s="304"/>
      <c r="J28" s="64" t="str">
        <f>IF(AND('Mapa final'!$Y$22="Media",'Mapa final'!$AA$22="Leve"),CONCATENATE("R3C",'Mapa final'!$O$22),"")</f>
        <v/>
      </c>
      <c r="K28" s="65" t="e">
        <f>IF(AND('Mapa final'!#REF!="Media",'Mapa final'!#REF!="Leve"),CONCATENATE("R3C",'Mapa final'!#REF!),"")</f>
        <v>#REF!</v>
      </c>
      <c r="L28" s="65" t="str">
        <f>IF(AND('Mapa final'!$Y$23="Media",'Mapa final'!$AA$23="Leve"),CONCATENATE("R3C",'Mapa final'!$O$23),"")</f>
        <v/>
      </c>
      <c r="M28" s="65" t="str">
        <f>IF(AND('Mapa final'!$Y$24="Media",'Mapa final'!$AA$24="Leve"),CONCATENATE("R3C",'Mapa final'!$O$24),"")</f>
        <v/>
      </c>
      <c r="N28" s="65" t="str">
        <f>IF(AND('Mapa final'!$Y$25="Media",'Mapa final'!$AA$25="Leve"),CONCATENATE("R3C",'Mapa final'!$O$25),"")</f>
        <v/>
      </c>
      <c r="O28" s="66" t="str">
        <f>IF(AND('Mapa final'!$Y$26="Media",'Mapa final'!$AA$26="Leve"),CONCATENATE("R3C",'Mapa final'!$O$26),"")</f>
        <v/>
      </c>
      <c r="P28" s="64" t="str">
        <f>IF(AND('Mapa final'!$Y$22="Media",'Mapa final'!$AA$22="Menor"),CONCATENATE("R3C",'Mapa final'!$O$22),"")</f>
        <v>R3C1</v>
      </c>
      <c r="Q28" s="65" t="e">
        <f>IF(AND('Mapa final'!#REF!="Media",'Mapa final'!#REF!="Menor"),CONCATENATE("R3C",'Mapa final'!#REF!),"")</f>
        <v>#REF!</v>
      </c>
      <c r="R28" s="65" t="str">
        <f>IF(AND('Mapa final'!$Y$23="Media",'Mapa final'!$AA$23="Menor"),CONCATENATE("R3C",'Mapa final'!$O$23),"")</f>
        <v/>
      </c>
      <c r="S28" s="65" t="str">
        <f>IF(AND('Mapa final'!$Y$24="Media",'Mapa final'!$AA$24="Menor"),CONCATENATE("R3C",'Mapa final'!$O$24),"")</f>
        <v/>
      </c>
      <c r="T28" s="65" t="str">
        <f>IF(AND('Mapa final'!$Y$25="Media",'Mapa final'!$AA$25="Menor"),CONCATENATE("R3C",'Mapa final'!$O$25),"")</f>
        <v/>
      </c>
      <c r="U28" s="66" t="str">
        <f>IF(AND('Mapa final'!$Y$26="Media",'Mapa final'!$AA$26="Menor"),CONCATENATE("R3C",'Mapa final'!$O$26),"")</f>
        <v/>
      </c>
      <c r="V28" s="64" t="str">
        <f>IF(AND('Mapa final'!$Y$22="Media",'Mapa final'!$AA$22="Moderado"),CONCATENATE("R3C",'Mapa final'!$O$22),"")</f>
        <v/>
      </c>
      <c r="W28" s="65" t="e">
        <f>IF(AND('Mapa final'!#REF!="Media",'Mapa final'!#REF!="Moderado"),CONCATENATE("R3C",'Mapa final'!#REF!),"")</f>
        <v>#REF!</v>
      </c>
      <c r="X28" s="65" t="str">
        <f>IF(AND('Mapa final'!$Y$23="Media",'Mapa final'!$AA$23="Moderado"),CONCATENATE("R3C",'Mapa final'!$O$23),"")</f>
        <v/>
      </c>
      <c r="Y28" s="65" t="str">
        <f>IF(AND('Mapa final'!$Y$24="Media",'Mapa final'!$AA$24="Moderado"),CONCATENATE("R3C",'Mapa final'!$O$24),"")</f>
        <v/>
      </c>
      <c r="Z28" s="65" t="str">
        <f>IF(AND('Mapa final'!$Y$25="Media",'Mapa final'!$AA$25="Moderado"),CONCATENATE("R3C",'Mapa final'!$O$25),"")</f>
        <v/>
      </c>
      <c r="AA28" s="66" t="str">
        <f>IF(AND('Mapa final'!$Y$26="Media",'Mapa final'!$AA$26="Moderado"),CONCATENATE("R3C",'Mapa final'!$O$26),"")</f>
        <v/>
      </c>
      <c r="AB28" s="49" t="str">
        <f>IF(AND('Mapa final'!$Y$22="Media",'Mapa final'!$AA$22="Mayor"),CONCATENATE("R3C",'Mapa final'!$O$22),"")</f>
        <v/>
      </c>
      <c r="AC28" s="50" t="e">
        <f>IF(AND('Mapa final'!#REF!="Media",'Mapa final'!#REF!="Mayor"),CONCATENATE("R3C",'Mapa final'!#REF!),"")</f>
        <v>#REF!</v>
      </c>
      <c r="AD28" s="50" t="str">
        <f>IF(AND('Mapa final'!$Y$23="Media",'Mapa final'!$AA$23="Mayor"),CONCATENATE("R3C",'Mapa final'!$O$23),"")</f>
        <v/>
      </c>
      <c r="AE28" s="50" t="str">
        <f>IF(AND('Mapa final'!$Y$24="Media",'Mapa final'!$AA$24="Mayor"),CONCATENATE("R3C",'Mapa final'!$O$24),"")</f>
        <v/>
      </c>
      <c r="AF28" s="50" t="str">
        <f>IF(AND('Mapa final'!$Y$25="Media",'Mapa final'!$AA$25="Mayor"),CONCATENATE("R3C",'Mapa final'!$O$25),"")</f>
        <v/>
      </c>
      <c r="AG28" s="51" t="str">
        <f>IF(AND('Mapa final'!$Y$26="Media",'Mapa final'!$AA$26="Mayor"),CONCATENATE("R3C",'Mapa final'!$O$26),"")</f>
        <v/>
      </c>
      <c r="AH28" s="52" t="str">
        <f>IF(AND('Mapa final'!$Y$22="Media",'Mapa final'!$AA$22="Catastrófico"),CONCATENATE("R3C",'Mapa final'!$O$22),"")</f>
        <v/>
      </c>
      <c r="AI28" s="53" t="e">
        <f>IF(AND('Mapa final'!#REF!="Media",'Mapa final'!#REF!="Catastrófico"),CONCATENATE("R3C",'Mapa final'!#REF!),"")</f>
        <v>#REF!</v>
      </c>
      <c r="AJ28" s="53" t="str">
        <f>IF(AND('Mapa final'!$Y$23="Media",'Mapa final'!$AA$23="Catastrófico"),CONCATENATE("R3C",'Mapa final'!$O$23),"")</f>
        <v/>
      </c>
      <c r="AK28" s="53" t="str">
        <f>IF(AND('Mapa final'!$Y$24="Media",'Mapa final'!$AA$24="Catastrófico"),CONCATENATE("R3C",'Mapa final'!$O$24),"")</f>
        <v/>
      </c>
      <c r="AL28" s="53" t="str">
        <f>IF(AND('Mapa final'!$Y$25="Media",'Mapa final'!$AA$25="Catastrófico"),CONCATENATE("R3C",'Mapa final'!$O$25),"")</f>
        <v/>
      </c>
      <c r="AM28" s="54" t="str">
        <f>IF(AND('Mapa final'!$Y$26="Media",'Mapa final'!$AA$26="Catastrófico"),CONCATENATE("R3C",'Mapa final'!$O$26),"")</f>
        <v/>
      </c>
      <c r="AN28" s="80"/>
      <c r="AO28" s="318"/>
      <c r="AP28" s="319"/>
      <c r="AQ28" s="319"/>
      <c r="AR28" s="319"/>
      <c r="AS28" s="319"/>
      <c r="AT28" s="32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301"/>
      <c r="C29" s="301"/>
      <c r="D29" s="302"/>
      <c r="E29" s="286"/>
      <c r="F29" s="285"/>
      <c r="G29" s="285"/>
      <c r="H29" s="285"/>
      <c r="I29" s="304"/>
      <c r="J29" s="64" t="str">
        <f>IF(AND('Mapa final'!$Y$27="Media",'Mapa final'!$AA$27="Leve"),CONCATENATE("R4C",'Mapa final'!$O$27),"")</f>
        <v/>
      </c>
      <c r="K29" s="65" t="e">
        <f>IF(AND('Mapa final'!#REF!="Media",'Mapa final'!#REF!="Leve"),CONCATENATE("R4C",'Mapa final'!#REF!),"")</f>
        <v>#REF!</v>
      </c>
      <c r="L29" s="65" t="str">
        <f>IF(AND('Mapa final'!$Y$28="Media",'Mapa final'!$AA$28="Leve"),CONCATENATE("R4C",'Mapa final'!$O$28),"")</f>
        <v/>
      </c>
      <c r="M29" s="65" t="str">
        <f>IF(AND('Mapa final'!$Y$29="Media",'Mapa final'!$AA$29="Leve"),CONCATENATE("R4C",'Mapa final'!$O$29),"")</f>
        <v/>
      </c>
      <c r="N29" s="65" t="str">
        <f>IF(AND('Mapa final'!$Y$30="Media",'Mapa final'!$AA$30="Leve"),CONCATENATE("R4C",'Mapa final'!$O$30),"")</f>
        <v/>
      </c>
      <c r="O29" s="66" t="str">
        <f>IF(AND('Mapa final'!$Y$31="Media",'Mapa final'!$AA$31="Leve"),CONCATENATE("R4C",'Mapa final'!$O$31),"")</f>
        <v/>
      </c>
      <c r="P29" s="64" t="str">
        <f>IF(AND('Mapa final'!$Y$27="Media",'Mapa final'!$AA$27="Menor"),CONCATENATE("R4C",'Mapa final'!$O$27),"")</f>
        <v/>
      </c>
      <c r="Q29" s="65" t="e">
        <f>IF(AND('Mapa final'!#REF!="Media",'Mapa final'!#REF!="Menor"),CONCATENATE("R4C",'Mapa final'!#REF!),"")</f>
        <v>#REF!</v>
      </c>
      <c r="R29" s="65" t="str">
        <f>IF(AND('Mapa final'!$Y$28="Media",'Mapa final'!$AA$28="Menor"),CONCATENATE("R4C",'Mapa final'!$O$28),"")</f>
        <v/>
      </c>
      <c r="S29" s="65" t="str">
        <f>IF(AND('Mapa final'!$Y$29="Media",'Mapa final'!$AA$29="Menor"),CONCATENATE("R4C",'Mapa final'!$O$29),"")</f>
        <v/>
      </c>
      <c r="T29" s="65" t="str">
        <f>IF(AND('Mapa final'!$Y$30="Media",'Mapa final'!$AA$30="Menor"),CONCATENATE("R4C",'Mapa final'!$O$30),"")</f>
        <v/>
      </c>
      <c r="U29" s="66" t="str">
        <f>IF(AND('Mapa final'!$Y$31="Media",'Mapa final'!$AA$31="Menor"),CONCATENATE("R4C",'Mapa final'!$O$31),"")</f>
        <v/>
      </c>
      <c r="V29" s="64" t="str">
        <f>IF(AND('Mapa final'!$Y$27="Media",'Mapa final'!$AA$27="Moderado"),CONCATENATE("R4C",'Mapa final'!$O$27),"")</f>
        <v/>
      </c>
      <c r="W29" s="65" t="e">
        <f>IF(AND('Mapa final'!#REF!="Media",'Mapa final'!#REF!="Moderado"),CONCATENATE("R4C",'Mapa final'!#REF!),"")</f>
        <v>#REF!</v>
      </c>
      <c r="X29" s="65" t="str">
        <f>IF(AND('Mapa final'!$Y$28="Media",'Mapa final'!$AA$28="Moderado"),CONCATENATE("R4C",'Mapa final'!$O$28),"")</f>
        <v/>
      </c>
      <c r="Y29" s="65" t="str">
        <f>IF(AND('Mapa final'!$Y$29="Media",'Mapa final'!$AA$29="Moderado"),CONCATENATE("R4C",'Mapa final'!$O$29),"")</f>
        <v/>
      </c>
      <c r="Z29" s="65" t="str">
        <f>IF(AND('Mapa final'!$Y$30="Media",'Mapa final'!$AA$30="Moderado"),CONCATENATE("R4C",'Mapa final'!$O$30),"")</f>
        <v/>
      </c>
      <c r="AA29" s="66" t="str">
        <f>IF(AND('Mapa final'!$Y$31="Media",'Mapa final'!$AA$31="Moderado"),CONCATENATE("R4C",'Mapa final'!$O$31),"")</f>
        <v/>
      </c>
      <c r="AB29" s="49" t="str">
        <f>IF(AND('Mapa final'!$Y$27="Media",'Mapa final'!$AA$27="Mayor"),CONCATENATE("R4C",'Mapa final'!$O$27),"")</f>
        <v/>
      </c>
      <c r="AC29" s="50" t="e">
        <f>IF(AND('Mapa final'!#REF!="Media",'Mapa final'!#REF!="Mayor"),CONCATENATE("R4C",'Mapa final'!#REF!),"")</f>
        <v>#REF!</v>
      </c>
      <c r="AD29" s="50" t="str">
        <f>IF(AND('Mapa final'!$Y$28="Media",'Mapa final'!$AA$28="Mayor"),CONCATENATE("R4C",'Mapa final'!$O$28),"")</f>
        <v/>
      </c>
      <c r="AE29" s="50" t="str">
        <f>IF(AND('Mapa final'!$Y$29="Media",'Mapa final'!$AA$29="Mayor"),CONCATENATE("R4C",'Mapa final'!$O$29),"")</f>
        <v/>
      </c>
      <c r="AF29" s="50" t="str">
        <f>IF(AND('Mapa final'!$Y$30="Media",'Mapa final'!$AA$30="Mayor"),CONCATENATE("R4C",'Mapa final'!$O$30),"")</f>
        <v/>
      </c>
      <c r="AG29" s="51" t="str">
        <f>IF(AND('Mapa final'!$Y$31="Media",'Mapa final'!$AA$31="Mayor"),CONCATENATE("R4C",'Mapa final'!$O$31),"")</f>
        <v/>
      </c>
      <c r="AH29" s="52" t="str">
        <f>IF(AND('Mapa final'!$Y$27="Media",'Mapa final'!$AA$27="Catastrófico"),CONCATENATE("R4C",'Mapa final'!$O$27),"")</f>
        <v/>
      </c>
      <c r="AI29" s="53" t="e">
        <f>IF(AND('Mapa final'!#REF!="Media",'Mapa final'!#REF!="Catastrófico"),CONCATENATE("R4C",'Mapa final'!#REF!),"")</f>
        <v>#REF!</v>
      </c>
      <c r="AJ29" s="53" t="str">
        <f>IF(AND('Mapa final'!$Y$28="Media",'Mapa final'!$AA$28="Catastrófico"),CONCATENATE("R4C",'Mapa final'!$O$28),"")</f>
        <v/>
      </c>
      <c r="AK29" s="53" t="str">
        <f>IF(AND('Mapa final'!$Y$29="Media",'Mapa final'!$AA$29="Catastrófico"),CONCATENATE("R4C",'Mapa final'!$O$29),"")</f>
        <v/>
      </c>
      <c r="AL29" s="53" t="str">
        <f>IF(AND('Mapa final'!$Y$30="Media",'Mapa final'!$AA$30="Catastrófico"),CONCATENATE("R4C",'Mapa final'!$O$30),"")</f>
        <v/>
      </c>
      <c r="AM29" s="54" t="str">
        <f>IF(AND('Mapa final'!$Y$31="Media",'Mapa final'!$AA$31="Catastrófico"),CONCATENATE("R4C",'Mapa final'!$O$31),"")</f>
        <v/>
      </c>
      <c r="AN29" s="80"/>
      <c r="AO29" s="318"/>
      <c r="AP29" s="319"/>
      <c r="AQ29" s="319"/>
      <c r="AR29" s="319"/>
      <c r="AS29" s="319"/>
      <c r="AT29" s="32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301"/>
      <c r="C30" s="301"/>
      <c r="D30" s="302"/>
      <c r="E30" s="286"/>
      <c r="F30" s="285"/>
      <c r="G30" s="285"/>
      <c r="H30" s="285"/>
      <c r="I30" s="304"/>
      <c r="J30" s="64" t="str">
        <f>IF(AND('Mapa final'!$Y$32="Media",'Mapa final'!$AA$32="Leve"),CONCATENATE("R5C",'Mapa final'!$O$32),"")</f>
        <v/>
      </c>
      <c r="K30" s="65" t="str">
        <f>IF(AND('Mapa final'!$Y$33="Media",'Mapa final'!$AA$33="Leve"),CONCATENATE("R5C",'Mapa final'!$O$33),"")</f>
        <v/>
      </c>
      <c r="L30" s="65" t="str">
        <f>IF(AND('Mapa final'!$Y$34="Media",'Mapa final'!$AA$34="Leve"),CONCATENATE("R5C",'Mapa final'!$O$34),"")</f>
        <v/>
      </c>
      <c r="M30" s="65" t="str">
        <f>IF(AND('Mapa final'!$Y$35="Media",'Mapa final'!$AA$35="Leve"),CONCATENATE("R5C",'Mapa final'!$O$35),"")</f>
        <v/>
      </c>
      <c r="N30" s="65" t="str">
        <f>IF(AND('Mapa final'!$Y$36="Media",'Mapa final'!$AA$36="Leve"),CONCATENATE("R5C",'Mapa final'!$O$36),"")</f>
        <v/>
      </c>
      <c r="O30" s="66" t="str">
        <f>IF(AND('Mapa final'!$Y$37="Media",'Mapa final'!$AA$37="Leve"),CONCATENATE("R5C",'Mapa final'!$O$37),"")</f>
        <v/>
      </c>
      <c r="P30" s="64" t="str">
        <f>IF(AND('Mapa final'!$Y$32="Media",'Mapa final'!$AA$32="Menor"),CONCATENATE("R5C",'Mapa final'!$O$32),"")</f>
        <v/>
      </c>
      <c r="Q30" s="65" t="str">
        <f>IF(AND('Mapa final'!$Y$33="Media",'Mapa final'!$AA$33="Menor"),CONCATENATE("R5C",'Mapa final'!$O$33),"")</f>
        <v/>
      </c>
      <c r="R30" s="65" t="str">
        <f>IF(AND('Mapa final'!$Y$34="Media",'Mapa final'!$AA$34="Menor"),CONCATENATE("R5C",'Mapa final'!$O$34),"")</f>
        <v/>
      </c>
      <c r="S30" s="65" t="str">
        <f>IF(AND('Mapa final'!$Y$35="Media",'Mapa final'!$AA$35="Menor"),CONCATENATE("R5C",'Mapa final'!$O$35),"")</f>
        <v/>
      </c>
      <c r="T30" s="65" t="str">
        <f>IF(AND('Mapa final'!$Y$36="Media",'Mapa final'!$AA$36="Menor"),CONCATENATE("R5C",'Mapa final'!$O$36),"")</f>
        <v/>
      </c>
      <c r="U30" s="66" t="str">
        <f>IF(AND('Mapa final'!$Y$37="Media",'Mapa final'!$AA$37="Menor"),CONCATENATE("R5C",'Mapa final'!$O$37),"")</f>
        <v/>
      </c>
      <c r="V30" s="64" t="str">
        <f>IF(AND('Mapa final'!$Y$32="Media",'Mapa final'!$AA$32="Moderado"),CONCATENATE("R5C",'Mapa final'!$O$32),"")</f>
        <v/>
      </c>
      <c r="W30" s="65" t="str">
        <f>IF(AND('Mapa final'!$Y$33="Media",'Mapa final'!$AA$33="Moderado"),CONCATENATE("R5C",'Mapa final'!$O$33),"")</f>
        <v/>
      </c>
      <c r="X30" s="65" t="str">
        <f>IF(AND('Mapa final'!$Y$34="Media",'Mapa final'!$AA$34="Moderado"),CONCATENATE("R5C",'Mapa final'!$O$34),"")</f>
        <v/>
      </c>
      <c r="Y30" s="65" t="str">
        <f>IF(AND('Mapa final'!$Y$35="Media",'Mapa final'!$AA$35="Moderado"),CONCATENATE("R5C",'Mapa final'!$O$35),"")</f>
        <v/>
      </c>
      <c r="Z30" s="65" t="str">
        <f>IF(AND('Mapa final'!$Y$36="Media",'Mapa final'!$AA$36="Moderado"),CONCATENATE("R5C",'Mapa final'!$O$36),"")</f>
        <v/>
      </c>
      <c r="AA30" s="66" t="str">
        <f>IF(AND('Mapa final'!$Y$37="Media",'Mapa final'!$AA$37="Moderado"),CONCATENATE("R5C",'Mapa final'!$O$37),"")</f>
        <v/>
      </c>
      <c r="AB30" s="49" t="str">
        <f>IF(AND('Mapa final'!$Y$32="Media",'Mapa final'!$AA$32="Mayor"),CONCATENATE("R5C",'Mapa final'!$O$32),"")</f>
        <v>R5C1</v>
      </c>
      <c r="AC30" s="50" t="str">
        <f>IF(AND('Mapa final'!$Y$33="Media",'Mapa final'!$AA$33="Mayor"),CONCATENATE("R5C",'Mapa final'!$O$33),"")</f>
        <v/>
      </c>
      <c r="AD30" s="50" t="str">
        <f>IF(AND('Mapa final'!$Y$34="Media",'Mapa final'!$AA$34="Mayor"),CONCATENATE("R5C",'Mapa final'!$O$34),"")</f>
        <v/>
      </c>
      <c r="AE30" s="50" t="str">
        <f>IF(AND('Mapa final'!$Y$35="Media",'Mapa final'!$AA$35="Mayor"),CONCATENATE("R5C",'Mapa final'!$O$35),"")</f>
        <v/>
      </c>
      <c r="AF30" s="50" t="str">
        <f>IF(AND('Mapa final'!$Y$36="Media",'Mapa final'!$AA$36="Mayor"),CONCATENATE("R5C",'Mapa final'!$O$36),"")</f>
        <v/>
      </c>
      <c r="AG30" s="51" t="str">
        <f>IF(AND('Mapa final'!$Y$37="Media",'Mapa final'!$AA$37="Mayor"),CONCATENATE("R5C",'Mapa final'!$O$37),"")</f>
        <v/>
      </c>
      <c r="AH30" s="52" t="str">
        <f>IF(AND('Mapa final'!$Y$32="Media",'Mapa final'!$AA$32="Catastrófico"),CONCATENATE("R5C",'Mapa final'!$O$32),"")</f>
        <v/>
      </c>
      <c r="AI30" s="53" t="str">
        <f>IF(AND('Mapa final'!$Y$33="Media",'Mapa final'!$AA$33="Catastrófico"),CONCATENATE("R5C",'Mapa final'!$O$33),"")</f>
        <v/>
      </c>
      <c r="AJ30" s="53" t="str">
        <f>IF(AND('Mapa final'!$Y$34="Media",'Mapa final'!$AA$34="Catastrófico"),CONCATENATE("R5C",'Mapa final'!$O$34),"")</f>
        <v/>
      </c>
      <c r="AK30" s="53" t="str">
        <f>IF(AND('Mapa final'!$Y$35="Media",'Mapa final'!$AA$35="Catastrófico"),CONCATENATE("R5C",'Mapa final'!$O$35),"")</f>
        <v/>
      </c>
      <c r="AL30" s="53" t="str">
        <f>IF(AND('Mapa final'!$Y$36="Media",'Mapa final'!$AA$36="Catastrófico"),CONCATENATE("R5C",'Mapa final'!$O$36),"")</f>
        <v/>
      </c>
      <c r="AM30" s="54" t="str">
        <f>IF(AND('Mapa final'!$Y$37="Media",'Mapa final'!$AA$37="Catastrófico"),CONCATENATE("R5C",'Mapa final'!$O$37),"")</f>
        <v/>
      </c>
      <c r="AN30" s="80"/>
      <c r="AO30" s="318"/>
      <c r="AP30" s="319"/>
      <c r="AQ30" s="319"/>
      <c r="AR30" s="319"/>
      <c r="AS30" s="319"/>
      <c r="AT30" s="32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301"/>
      <c r="C31" s="301"/>
      <c r="D31" s="302"/>
      <c r="E31" s="286"/>
      <c r="F31" s="285"/>
      <c r="G31" s="285"/>
      <c r="H31" s="285"/>
      <c r="I31" s="304"/>
      <c r="J31" s="64" t="e">
        <f>IF(AND('Mapa final'!#REF!="Media",'Mapa final'!#REF!="Leve"),CONCATENATE("R6C",'Mapa final'!#REF!),"")</f>
        <v>#REF!</v>
      </c>
      <c r="K31" s="65" t="e">
        <f>IF(AND('Mapa final'!#REF!="Media",'Mapa final'!#REF!="Leve"),CONCATENATE("R6C",'Mapa final'!#REF!),"")</f>
        <v>#REF!</v>
      </c>
      <c r="L31" s="65" t="e">
        <f>IF(AND('Mapa final'!#REF!="Media",'Mapa final'!#REF!="Leve"),CONCATENATE("R6C",'Mapa final'!#REF!),"")</f>
        <v>#REF!</v>
      </c>
      <c r="M31" s="65" t="e">
        <f>IF(AND('Mapa final'!#REF!="Media",'Mapa final'!#REF!="Leve"),CONCATENATE("R6C",'Mapa final'!#REF!),"")</f>
        <v>#REF!</v>
      </c>
      <c r="N31" s="65" t="e">
        <f>IF(AND('Mapa final'!#REF!="Media",'Mapa final'!#REF!="Leve"),CONCATENATE("R6C",'Mapa final'!#REF!),"")</f>
        <v>#REF!</v>
      </c>
      <c r="O31" s="66" t="e">
        <f>IF(AND('Mapa final'!#REF!="Media",'Mapa final'!#REF!="Leve"),CONCATENATE("R6C",'Mapa final'!#REF!),"")</f>
        <v>#REF!</v>
      </c>
      <c r="P31" s="64" t="e">
        <f>IF(AND('Mapa final'!#REF!="Media",'Mapa final'!#REF!="Menor"),CONCATENATE("R6C",'Mapa final'!#REF!),"")</f>
        <v>#REF!</v>
      </c>
      <c r="Q31" s="65" t="e">
        <f>IF(AND('Mapa final'!#REF!="Media",'Mapa final'!#REF!="Menor"),CONCATENATE("R6C",'Mapa final'!#REF!),"")</f>
        <v>#REF!</v>
      </c>
      <c r="R31" s="65" t="e">
        <f>IF(AND('Mapa final'!#REF!="Media",'Mapa final'!#REF!="Menor"),CONCATENATE("R6C",'Mapa final'!#REF!),"")</f>
        <v>#REF!</v>
      </c>
      <c r="S31" s="65" t="e">
        <f>IF(AND('Mapa final'!#REF!="Media",'Mapa final'!#REF!="Menor"),CONCATENATE("R6C",'Mapa final'!#REF!),"")</f>
        <v>#REF!</v>
      </c>
      <c r="T31" s="65" t="e">
        <f>IF(AND('Mapa final'!#REF!="Media",'Mapa final'!#REF!="Menor"),CONCATENATE("R6C",'Mapa final'!#REF!),"")</f>
        <v>#REF!</v>
      </c>
      <c r="U31" s="66" t="e">
        <f>IF(AND('Mapa final'!#REF!="Media",'Mapa final'!#REF!="Menor"),CONCATENATE("R6C",'Mapa final'!#REF!),"")</f>
        <v>#REF!</v>
      </c>
      <c r="V31" s="64" t="e">
        <f>IF(AND('Mapa final'!#REF!="Media",'Mapa final'!#REF!="Moderado"),CONCATENATE("R6C",'Mapa final'!#REF!),"")</f>
        <v>#REF!</v>
      </c>
      <c r="W31" s="65" t="e">
        <f>IF(AND('Mapa final'!#REF!="Media",'Mapa final'!#REF!="Moderado"),CONCATENATE("R6C",'Mapa final'!#REF!),"")</f>
        <v>#REF!</v>
      </c>
      <c r="X31" s="65" t="e">
        <f>IF(AND('Mapa final'!#REF!="Media",'Mapa final'!#REF!="Moderado"),CONCATENATE("R6C",'Mapa final'!#REF!),"")</f>
        <v>#REF!</v>
      </c>
      <c r="Y31" s="65" t="e">
        <f>IF(AND('Mapa final'!#REF!="Media",'Mapa final'!#REF!="Moderado"),CONCATENATE("R6C",'Mapa final'!#REF!),"")</f>
        <v>#REF!</v>
      </c>
      <c r="Z31" s="65" t="e">
        <f>IF(AND('Mapa final'!#REF!="Media",'Mapa final'!#REF!="Moderado"),CONCATENATE("R6C",'Mapa final'!#REF!),"")</f>
        <v>#REF!</v>
      </c>
      <c r="AA31" s="66" t="e">
        <f>IF(AND('Mapa final'!#REF!="Media",'Mapa final'!#REF!="Moderado"),CONCATENATE("R6C",'Mapa final'!#REF!),"")</f>
        <v>#REF!</v>
      </c>
      <c r="AB31" s="49" t="e">
        <f>IF(AND('Mapa final'!#REF!="Media",'Mapa final'!#REF!="Mayor"),CONCATENATE("R6C",'Mapa final'!#REF!),"")</f>
        <v>#REF!</v>
      </c>
      <c r="AC31" s="50" t="e">
        <f>IF(AND('Mapa final'!#REF!="Media",'Mapa final'!#REF!="Mayor"),CONCATENATE("R6C",'Mapa final'!#REF!),"")</f>
        <v>#REF!</v>
      </c>
      <c r="AD31" s="50" t="e">
        <f>IF(AND('Mapa final'!#REF!="Media",'Mapa final'!#REF!="Mayor"),CONCATENATE("R6C",'Mapa final'!#REF!),"")</f>
        <v>#REF!</v>
      </c>
      <c r="AE31" s="50" t="e">
        <f>IF(AND('Mapa final'!#REF!="Media",'Mapa final'!#REF!="Mayor"),CONCATENATE("R6C",'Mapa final'!#REF!),"")</f>
        <v>#REF!</v>
      </c>
      <c r="AF31" s="50" t="e">
        <f>IF(AND('Mapa final'!#REF!="Media",'Mapa final'!#REF!="Mayor"),CONCATENATE("R6C",'Mapa final'!#REF!),"")</f>
        <v>#REF!</v>
      </c>
      <c r="AG31" s="51" t="e">
        <f>IF(AND('Mapa final'!#REF!="Media",'Mapa final'!#REF!="Mayor"),CONCATENATE("R6C",'Mapa final'!#REF!),"")</f>
        <v>#REF!</v>
      </c>
      <c r="AH31" s="52" t="e">
        <f>IF(AND('Mapa final'!#REF!="Media",'Mapa final'!#REF!="Catastrófico"),CONCATENATE("R6C",'Mapa final'!#REF!),"")</f>
        <v>#REF!</v>
      </c>
      <c r="AI31" s="53" t="e">
        <f>IF(AND('Mapa final'!#REF!="Media",'Mapa final'!#REF!="Catastrófico"),CONCATENATE("R6C",'Mapa final'!#REF!),"")</f>
        <v>#REF!</v>
      </c>
      <c r="AJ31" s="53" t="e">
        <f>IF(AND('Mapa final'!#REF!="Media",'Mapa final'!#REF!="Catastrófico"),CONCATENATE("R6C",'Mapa final'!#REF!),"")</f>
        <v>#REF!</v>
      </c>
      <c r="AK31" s="53" t="e">
        <f>IF(AND('Mapa final'!#REF!="Media",'Mapa final'!#REF!="Catastrófico"),CONCATENATE("R6C",'Mapa final'!#REF!),"")</f>
        <v>#REF!</v>
      </c>
      <c r="AL31" s="53" t="e">
        <f>IF(AND('Mapa final'!#REF!="Media",'Mapa final'!#REF!="Catastrófico"),CONCATENATE("R6C",'Mapa final'!#REF!),"")</f>
        <v>#REF!</v>
      </c>
      <c r="AM31" s="54" t="e">
        <f>IF(AND('Mapa final'!#REF!="Media",'Mapa final'!#REF!="Catastrófico"),CONCATENATE("R6C",'Mapa final'!#REF!),"")</f>
        <v>#REF!</v>
      </c>
      <c r="AN31" s="80"/>
      <c r="AO31" s="318"/>
      <c r="AP31" s="319"/>
      <c r="AQ31" s="319"/>
      <c r="AR31" s="319"/>
      <c r="AS31" s="319"/>
      <c r="AT31" s="32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301"/>
      <c r="C32" s="301"/>
      <c r="D32" s="302"/>
      <c r="E32" s="286"/>
      <c r="F32" s="285"/>
      <c r="G32" s="285"/>
      <c r="H32" s="285"/>
      <c r="I32" s="304"/>
      <c r="J32" s="64" t="str">
        <f>IF(AND('Mapa final'!$Y$38="Media",'Mapa final'!$AA$38="Leve"),CONCATENATE("R7C",'Mapa final'!$O$38),"")</f>
        <v/>
      </c>
      <c r="K32" s="65" t="str">
        <f>IF(AND('Mapa final'!$Y$39="Media",'Mapa final'!$AA$39="Leve"),CONCATENATE("R7C",'Mapa final'!$O$39),"")</f>
        <v/>
      </c>
      <c r="L32" s="65" t="str">
        <f>IF(AND('Mapa final'!$Y$40="Media",'Mapa final'!$AA$40="Leve"),CONCATENATE("R7C",'Mapa final'!$O$40),"")</f>
        <v/>
      </c>
      <c r="M32" s="65" t="str">
        <f>IF(AND('Mapa final'!$Y$41="Media",'Mapa final'!$AA$41="Leve"),CONCATENATE("R7C",'Mapa final'!$O$41),"")</f>
        <v/>
      </c>
      <c r="N32" s="65" t="str">
        <f>IF(AND('Mapa final'!$Y$42="Media",'Mapa final'!$AA$42="Leve"),CONCATENATE("R7C",'Mapa final'!$O$42),"")</f>
        <v/>
      </c>
      <c r="O32" s="66" t="str">
        <f>IF(AND('Mapa final'!$Y$43="Media",'Mapa final'!$AA$43="Leve"),CONCATENATE("R7C",'Mapa final'!$O$43),"")</f>
        <v/>
      </c>
      <c r="P32" s="64" t="str">
        <f>IF(AND('Mapa final'!$Y$38="Media",'Mapa final'!$AA$38="Menor"),CONCATENATE("R7C",'Mapa final'!$O$38),"")</f>
        <v/>
      </c>
      <c r="Q32" s="65" t="str">
        <f>IF(AND('Mapa final'!$Y$39="Media",'Mapa final'!$AA$39="Menor"),CONCATENATE("R7C",'Mapa final'!$O$39),"")</f>
        <v/>
      </c>
      <c r="R32" s="65" t="str">
        <f>IF(AND('Mapa final'!$Y$40="Media",'Mapa final'!$AA$40="Menor"),CONCATENATE("R7C",'Mapa final'!$O$40),"")</f>
        <v/>
      </c>
      <c r="S32" s="65" t="str">
        <f>IF(AND('Mapa final'!$Y$41="Media",'Mapa final'!$AA$41="Menor"),CONCATENATE("R7C",'Mapa final'!$O$41),"")</f>
        <v/>
      </c>
      <c r="T32" s="65" t="str">
        <f>IF(AND('Mapa final'!$Y$42="Media",'Mapa final'!$AA$42="Menor"),CONCATENATE("R7C",'Mapa final'!$O$42),"")</f>
        <v/>
      </c>
      <c r="U32" s="66" t="str">
        <f>IF(AND('Mapa final'!$Y$43="Media",'Mapa final'!$AA$43="Menor"),CONCATENATE("R7C",'Mapa final'!$O$43),"")</f>
        <v/>
      </c>
      <c r="V32" s="64" t="str">
        <f>IF(AND('Mapa final'!$Y$38="Media",'Mapa final'!$AA$38="Moderado"),CONCATENATE("R7C",'Mapa final'!$O$38),"")</f>
        <v/>
      </c>
      <c r="W32" s="65" t="str">
        <f>IF(AND('Mapa final'!$Y$39="Media",'Mapa final'!$AA$39="Moderado"),CONCATENATE("R7C",'Mapa final'!$O$39),"")</f>
        <v/>
      </c>
      <c r="X32" s="65" t="str">
        <f>IF(AND('Mapa final'!$Y$40="Media",'Mapa final'!$AA$40="Moderado"),CONCATENATE("R7C",'Mapa final'!$O$40),"")</f>
        <v/>
      </c>
      <c r="Y32" s="65" t="str">
        <f>IF(AND('Mapa final'!$Y$41="Media",'Mapa final'!$AA$41="Moderado"),CONCATENATE("R7C",'Mapa final'!$O$41),"")</f>
        <v/>
      </c>
      <c r="Z32" s="65" t="str">
        <f>IF(AND('Mapa final'!$Y$42="Media",'Mapa final'!$AA$42="Moderado"),CONCATENATE("R7C",'Mapa final'!$O$42),"")</f>
        <v/>
      </c>
      <c r="AA32" s="66" t="str">
        <f>IF(AND('Mapa final'!$Y$43="Media",'Mapa final'!$AA$43="Moderado"),CONCATENATE("R7C",'Mapa final'!$O$43),"")</f>
        <v/>
      </c>
      <c r="AB32" s="49" t="str">
        <f>IF(AND('Mapa final'!$Y$38="Media",'Mapa final'!$AA$38="Mayor"),CONCATENATE("R7C",'Mapa final'!$O$38),"")</f>
        <v/>
      </c>
      <c r="AC32" s="50" t="str">
        <f>IF(AND('Mapa final'!$Y$39="Media",'Mapa final'!$AA$39="Mayor"),CONCATENATE("R7C",'Mapa final'!$O$39),"")</f>
        <v/>
      </c>
      <c r="AD32" s="50" t="str">
        <f>IF(AND('Mapa final'!$Y$40="Media",'Mapa final'!$AA$40="Mayor"),CONCATENATE("R7C",'Mapa final'!$O$40),"")</f>
        <v/>
      </c>
      <c r="AE32" s="50" t="str">
        <f>IF(AND('Mapa final'!$Y$41="Media",'Mapa final'!$AA$41="Mayor"),CONCATENATE("R7C",'Mapa final'!$O$41),"")</f>
        <v/>
      </c>
      <c r="AF32" s="50" t="str">
        <f>IF(AND('Mapa final'!$Y$42="Media",'Mapa final'!$AA$42="Mayor"),CONCATENATE("R7C",'Mapa final'!$O$42),"")</f>
        <v/>
      </c>
      <c r="AG32" s="51" t="str">
        <f>IF(AND('Mapa final'!$Y$43="Media",'Mapa final'!$AA$43="Mayor"),CONCATENATE("R7C",'Mapa final'!$O$43),"")</f>
        <v/>
      </c>
      <c r="AH32" s="52" t="str">
        <f>IF(AND('Mapa final'!$Y$38="Media",'Mapa final'!$AA$38="Catastrófico"),CONCATENATE("R7C",'Mapa final'!$O$38),"")</f>
        <v/>
      </c>
      <c r="AI32" s="53" t="str">
        <f>IF(AND('Mapa final'!$Y$39="Media",'Mapa final'!$AA$39="Catastrófico"),CONCATENATE("R7C",'Mapa final'!$O$39),"")</f>
        <v/>
      </c>
      <c r="AJ32" s="53" t="str">
        <f>IF(AND('Mapa final'!$Y$40="Media",'Mapa final'!$AA$40="Catastrófico"),CONCATENATE("R7C",'Mapa final'!$O$40),"")</f>
        <v/>
      </c>
      <c r="AK32" s="53" t="str">
        <f>IF(AND('Mapa final'!$Y$41="Media",'Mapa final'!$AA$41="Catastrófico"),CONCATENATE("R7C",'Mapa final'!$O$41),"")</f>
        <v/>
      </c>
      <c r="AL32" s="53" t="str">
        <f>IF(AND('Mapa final'!$Y$42="Media",'Mapa final'!$AA$42="Catastrófico"),CONCATENATE("R7C",'Mapa final'!$O$42),"")</f>
        <v/>
      </c>
      <c r="AM32" s="54" t="str">
        <f>IF(AND('Mapa final'!$Y$43="Media",'Mapa final'!$AA$43="Catastrófico"),CONCATENATE("R7C",'Mapa final'!$O$43),"")</f>
        <v/>
      </c>
      <c r="AN32" s="80"/>
      <c r="AO32" s="318"/>
      <c r="AP32" s="319"/>
      <c r="AQ32" s="319"/>
      <c r="AR32" s="319"/>
      <c r="AS32" s="319"/>
      <c r="AT32" s="32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301"/>
      <c r="C33" s="301"/>
      <c r="D33" s="302"/>
      <c r="E33" s="286"/>
      <c r="F33" s="285"/>
      <c r="G33" s="285"/>
      <c r="H33" s="285"/>
      <c r="I33" s="304"/>
      <c r="J33" s="64" t="str">
        <f>IF(AND('Mapa final'!$Y$44="Media",'Mapa final'!$AA$44="Leve"),CONCATENATE("R8C",'Mapa final'!$O$44),"")</f>
        <v/>
      </c>
      <c r="K33" s="65" t="str">
        <f>IF(AND('Mapa final'!$Y$45="Media",'Mapa final'!$AA$45="Leve"),CONCATENATE("R8C",'Mapa final'!$O$45),"")</f>
        <v/>
      </c>
      <c r="L33" s="65" t="str">
        <f>IF(AND('Mapa final'!$Y$46="Media",'Mapa final'!$AA$46="Leve"),CONCATENATE("R8C",'Mapa final'!$O$46),"")</f>
        <v/>
      </c>
      <c r="M33" s="65" t="str">
        <f>IF(AND('Mapa final'!$Y$47="Media",'Mapa final'!$AA$47="Leve"),CONCATENATE("R8C",'Mapa final'!$O$47),"")</f>
        <v/>
      </c>
      <c r="N33" s="65" t="str">
        <f>IF(AND('Mapa final'!$Y$48="Media",'Mapa final'!$AA$48="Leve"),CONCATENATE("R8C",'Mapa final'!$O$48),"")</f>
        <v/>
      </c>
      <c r="O33" s="66" t="str">
        <f>IF(AND('Mapa final'!$Y$49="Media",'Mapa final'!$AA$49="Leve"),CONCATENATE("R8C",'Mapa final'!$O$49),"")</f>
        <v/>
      </c>
      <c r="P33" s="64" t="str">
        <f>IF(AND('Mapa final'!$Y$44="Media",'Mapa final'!$AA$44="Menor"),CONCATENATE("R8C",'Mapa final'!$O$44),"")</f>
        <v/>
      </c>
      <c r="Q33" s="65" t="str">
        <f>IF(AND('Mapa final'!$Y$45="Media",'Mapa final'!$AA$45="Menor"),CONCATENATE("R8C",'Mapa final'!$O$45),"")</f>
        <v/>
      </c>
      <c r="R33" s="65" t="str">
        <f>IF(AND('Mapa final'!$Y$46="Media",'Mapa final'!$AA$46="Menor"),CONCATENATE("R8C",'Mapa final'!$O$46),"")</f>
        <v/>
      </c>
      <c r="S33" s="65" t="str">
        <f>IF(AND('Mapa final'!$Y$47="Media",'Mapa final'!$AA$47="Menor"),CONCATENATE("R8C",'Mapa final'!$O$47),"")</f>
        <v/>
      </c>
      <c r="T33" s="65" t="str">
        <f>IF(AND('Mapa final'!$Y$48="Media",'Mapa final'!$AA$48="Menor"),CONCATENATE("R8C",'Mapa final'!$O$48),"")</f>
        <v/>
      </c>
      <c r="U33" s="66" t="str">
        <f>IF(AND('Mapa final'!$Y$49="Media",'Mapa final'!$AA$49="Menor"),CONCATENATE("R8C",'Mapa final'!$O$49),"")</f>
        <v/>
      </c>
      <c r="V33" s="64" t="str">
        <f>IF(AND('Mapa final'!$Y$44="Media",'Mapa final'!$AA$44="Moderado"),CONCATENATE("R8C",'Mapa final'!$O$44),"")</f>
        <v/>
      </c>
      <c r="W33" s="65" t="str">
        <f>IF(AND('Mapa final'!$Y$45="Media",'Mapa final'!$AA$45="Moderado"),CONCATENATE("R8C",'Mapa final'!$O$45),"")</f>
        <v/>
      </c>
      <c r="X33" s="65" t="str">
        <f>IF(AND('Mapa final'!$Y$46="Media",'Mapa final'!$AA$46="Moderado"),CONCATENATE("R8C",'Mapa final'!$O$46),"")</f>
        <v/>
      </c>
      <c r="Y33" s="65" t="str">
        <f>IF(AND('Mapa final'!$Y$47="Media",'Mapa final'!$AA$47="Moderado"),CONCATENATE("R8C",'Mapa final'!$O$47),"")</f>
        <v/>
      </c>
      <c r="Z33" s="65" t="str">
        <f>IF(AND('Mapa final'!$Y$48="Media",'Mapa final'!$AA$48="Moderado"),CONCATENATE("R8C",'Mapa final'!$O$48),"")</f>
        <v/>
      </c>
      <c r="AA33" s="66" t="str">
        <f>IF(AND('Mapa final'!$Y$49="Media",'Mapa final'!$AA$49="Moderado"),CONCATENATE("R8C",'Mapa final'!$O$49),"")</f>
        <v/>
      </c>
      <c r="AB33" s="49" t="str">
        <f>IF(AND('Mapa final'!$Y$44="Media",'Mapa final'!$AA$44="Mayor"),CONCATENATE("R8C",'Mapa final'!$O$44),"")</f>
        <v/>
      </c>
      <c r="AC33" s="50" t="str">
        <f>IF(AND('Mapa final'!$Y$45="Media",'Mapa final'!$AA$45="Mayor"),CONCATENATE("R8C",'Mapa final'!$O$45),"")</f>
        <v/>
      </c>
      <c r="AD33" s="50" t="str">
        <f>IF(AND('Mapa final'!$Y$46="Media",'Mapa final'!$AA$46="Mayor"),CONCATENATE("R8C",'Mapa final'!$O$46),"")</f>
        <v/>
      </c>
      <c r="AE33" s="50" t="str">
        <f>IF(AND('Mapa final'!$Y$47="Media",'Mapa final'!$AA$47="Mayor"),CONCATENATE("R8C",'Mapa final'!$O$47),"")</f>
        <v/>
      </c>
      <c r="AF33" s="50" t="str">
        <f>IF(AND('Mapa final'!$Y$48="Media",'Mapa final'!$AA$48="Mayor"),CONCATENATE("R8C",'Mapa final'!$O$48),"")</f>
        <v/>
      </c>
      <c r="AG33" s="51" t="str">
        <f>IF(AND('Mapa final'!$Y$49="Media",'Mapa final'!$AA$49="Mayor"),CONCATENATE("R8C",'Mapa final'!$O$49),"")</f>
        <v/>
      </c>
      <c r="AH33" s="52" t="str">
        <f>IF(AND('Mapa final'!$Y$44="Media",'Mapa final'!$AA$44="Catastrófico"),CONCATENATE("R8C",'Mapa final'!$O$44),"")</f>
        <v/>
      </c>
      <c r="AI33" s="53" t="str">
        <f>IF(AND('Mapa final'!$Y$45="Media",'Mapa final'!$AA$45="Catastrófico"),CONCATENATE("R8C",'Mapa final'!$O$45),"")</f>
        <v/>
      </c>
      <c r="AJ33" s="53" t="str">
        <f>IF(AND('Mapa final'!$Y$46="Media",'Mapa final'!$AA$46="Catastrófico"),CONCATENATE("R8C",'Mapa final'!$O$46),"")</f>
        <v/>
      </c>
      <c r="AK33" s="53" t="str">
        <f>IF(AND('Mapa final'!$Y$47="Media",'Mapa final'!$AA$47="Catastrófico"),CONCATENATE("R8C",'Mapa final'!$O$47),"")</f>
        <v/>
      </c>
      <c r="AL33" s="53" t="str">
        <f>IF(AND('Mapa final'!$Y$48="Media",'Mapa final'!$AA$48="Catastrófico"),CONCATENATE("R8C",'Mapa final'!$O$48),"")</f>
        <v/>
      </c>
      <c r="AM33" s="54" t="str">
        <f>IF(AND('Mapa final'!$Y$49="Media",'Mapa final'!$AA$49="Catastrófico"),CONCATENATE("R8C",'Mapa final'!$O$49),"")</f>
        <v/>
      </c>
      <c r="AN33" s="80"/>
      <c r="AO33" s="318"/>
      <c r="AP33" s="319"/>
      <c r="AQ33" s="319"/>
      <c r="AR33" s="319"/>
      <c r="AS33" s="319"/>
      <c r="AT33" s="32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301"/>
      <c r="C34" s="301"/>
      <c r="D34" s="302"/>
      <c r="E34" s="286"/>
      <c r="F34" s="285"/>
      <c r="G34" s="285"/>
      <c r="H34" s="285"/>
      <c r="I34" s="304"/>
      <c r="J34" s="64" t="str">
        <f>IF(AND('Mapa final'!$Y$50="Media",'Mapa final'!$AA$50="Leve"),CONCATENATE("R9C",'Mapa final'!$O$50),"")</f>
        <v/>
      </c>
      <c r="K34" s="65" t="str">
        <f>IF(AND('Mapa final'!$Y$51="Media",'Mapa final'!$AA$51="Leve"),CONCATENATE("R9C",'Mapa final'!$O$51),"")</f>
        <v/>
      </c>
      <c r="L34" s="65" t="str">
        <f>IF(AND('Mapa final'!$Y$52="Media",'Mapa final'!$AA$52="Leve"),CONCATENATE("R9C",'Mapa final'!$O$52),"")</f>
        <v/>
      </c>
      <c r="M34" s="65" t="str">
        <f>IF(AND('Mapa final'!$Y$53="Media",'Mapa final'!$AA$53="Leve"),CONCATENATE("R9C",'Mapa final'!$O$53),"")</f>
        <v/>
      </c>
      <c r="N34" s="65" t="str">
        <f>IF(AND('Mapa final'!$Y$54="Media",'Mapa final'!$AA$54="Leve"),CONCATENATE("R9C",'Mapa final'!$O$54),"")</f>
        <v/>
      </c>
      <c r="O34" s="66" t="str">
        <f>IF(AND('Mapa final'!$Y$55="Media",'Mapa final'!$AA$55="Leve"),CONCATENATE("R9C",'Mapa final'!$O$55),"")</f>
        <v/>
      </c>
      <c r="P34" s="64" t="str">
        <f>IF(AND('Mapa final'!$Y$50="Media",'Mapa final'!$AA$50="Menor"),CONCATENATE("R9C",'Mapa final'!$O$50),"")</f>
        <v/>
      </c>
      <c r="Q34" s="65" t="str">
        <f>IF(AND('Mapa final'!$Y$51="Media",'Mapa final'!$AA$51="Menor"),CONCATENATE("R9C",'Mapa final'!$O$51),"")</f>
        <v/>
      </c>
      <c r="R34" s="65" t="str">
        <f>IF(AND('Mapa final'!$Y$52="Media",'Mapa final'!$AA$52="Menor"),CONCATENATE("R9C",'Mapa final'!$O$52),"")</f>
        <v/>
      </c>
      <c r="S34" s="65" t="str">
        <f>IF(AND('Mapa final'!$Y$53="Media",'Mapa final'!$AA$53="Menor"),CONCATENATE("R9C",'Mapa final'!$O$53),"")</f>
        <v/>
      </c>
      <c r="T34" s="65" t="str">
        <f>IF(AND('Mapa final'!$Y$54="Media",'Mapa final'!$AA$54="Menor"),CONCATENATE("R9C",'Mapa final'!$O$54),"")</f>
        <v/>
      </c>
      <c r="U34" s="66" t="str">
        <f>IF(AND('Mapa final'!$Y$55="Media",'Mapa final'!$AA$55="Menor"),CONCATENATE("R9C",'Mapa final'!$O$55),"")</f>
        <v/>
      </c>
      <c r="V34" s="64" t="str">
        <f>IF(AND('Mapa final'!$Y$50="Media",'Mapa final'!$AA$50="Moderado"),CONCATENATE("R9C",'Mapa final'!$O$50),"")</f>
        <v/>
      </c>
      <c r="W34" s="65" t="str">
        <f>IF(AND('Mapa final'!$Y$51="Media",'Mapa final'!$AA$51="Moderado"),CONCATENATE("R9C",'Mapa final'!$O$51),"")</f>
        <v/>
      </c>
      <c r="X34" s="65" t="str">
        <f>IF(AND('Mapa final'!$Y$52="Media",'Mapa final'!$AA$52="Moderado"),CONCATENATE("R9C",'Mapa final'!$O$52),"")</f>
        <v/>
      </c>
      <c r="Y34" s="65" t="str">
        <f>IF(AND('Mapa final'!$Y$53="Media",'Mapa final'!$AA$53="Moderado"),CONCATENATE("R9C",'Mapa final'!$O$53),"")</f>
        <v/>
      </c>
      <c r="Z34" s="65" t="str">
        <f>IF(AND('Mapa final'!$Y$54="Media",'Mapa final'!$AA$54="Moderado"),CONCATENATE("R9C",'Mapa final'!$O$54),"")</f>
        <v/>
      </c>
      <c r="AA34" s="66" t="str">
        <f>IF(AND('Mapa final'!$Y$55="Media",'Mapa final'!$AA$55="Moderado"),CONCATENATE("R9C",'Mapa final'!$O$55),"")</f>
        <v/>
      </c>
      <c r="AB34" s="49" t="str">
        <f>IF(AND('Mapa final'!$Y$50="Media",'Mapa final'!$AA$50="Mayor"),CONCATENATE("R9C",'Mapa final'!$O$50),"")</f>
        <v/>
      </c>
      <c r="AC34" s="50" t="str">
        <f>IF(AND('Mapa final'!$Y$51="Media",'Mapa final'!$AA$51="Mayor"),CONCATENATE("R9C",'Mapa final'!$O$51),"")</f>
        <v/>
      </c>
      <c r="AD34" s="50" t="str">
        <f>IF(AND('Mapa final'!$Y$52="Media",'Mapa final'!$AA$52="Mayor"),CONCATENATE("R9C",'Mapa final'!$O$52),"")</f>
        <v/>
      </c>
      <c r="AE34" s="50" t="str">
        <f>IF(AND('Mapa final'!$Y$53="Media",'Mapa final'!$AA$53="Mayor"),CONCATENATE("R9C",'Mapa final'!$O$53),"")</f>
        <v/>
      </c>
      <c r="AF34" s="50" t="str">
        <f>IF(AND('Mapa final'!$Y$54="Media",'Mapa final'!$AA$54="Mayor"),CONCATENATE("R9C",'Mapa final'!$O$54),"")</f>
        <v/>
      </c>
      <c r="AG34" s="51" t="str">
        <f>IF(AND('Mapa final'!$Y$55="Media",'Mapa final'!$AA$55="Mayor"),CONCATENATE("R9C",'Mapa final'!$O$55),"")</f>
        <v/>
      </c>
      <c r="AH34" s="52" t="str">
        <f>IF(AND('Mapa final'!$Y$50="Media",'Mapa final'!$AA$50="Catastrófico"),CONCATENATE("R9C",'Mapa final'!$O$50),"")</f>
        <v/>
      </c>
      <c r="AI34" s="53" t="str">
        <f>IF(AND('Mapa final'!$Y$51="Media",'Mapa final'!$AA$51="Catastrófico"),CONCATENATE("R9C",'Mapa final'!$O$51),"")</f>
        <v/>
      </c>
      <c r="AJ34" s="53" t="str">
        <f>IF(AND('Mapa final'!$Y$52="Media",'Mapa final'!$AA$52="Catastrófico"),CONCATENATE("R9C",'Mapa final'!$O$52),"")</f>
        <v/>
      </c>
      <c r="AK34" s="53" t="str">
        <f>IF(AND('Mapa final'!$Y$53="Media",'Mapa final'!$AA$53="Catastrófico"),CONCATENATE("R9C",'Mapa final'!$O$53),"")</f>
        <v/>
      </c>
      <c r="AL34" s="53" t="str">
        <f>IF(AND('Mapa final'!$Y$54="Media",'Mapa final'!$AA$54="Catastrófico"),CONCATENATE("R9C",'Mapa final'!$O$54),"")</f>
        <v/>
      </c>
      <c r="AM34" s="54" t="str">
        <f>IF(AND('Mapa final'!$Y$55="Media",'Mapa final'!$AA$55="Catastrófico"),CONCATENATE("R9C",'Mapa final'!$O$55),"")</f>
        <v/>
      </c>
      <c r="AN34" s="80"/>
      <c r="AO34" s="318"/>
      <c r="AP34" s="319"/>
      <c r="AQ34" s="319"/>
      <c r="AR34" s="319"/>
      <c r="AS34" s="319"/>
      <c r="AT34" s="32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301"/>
      <c r="C35" s="301"/>
      <c r="D35" s="302"/>
      <c r="E35" s="287"/>
      <c r="F35" s="288"/>
      <c r="G35" s="288"/>
      <c r="H35" s="288"/>
      <c r="I35" s="305"/>
      <c r="J35" s="64" t="str">
        <f>IF(AND('Mapa final'!$Y$56="Media",'Mapa final'!$AA$56="Leve"),CONCATENATE("R10C",'Mapa final'!$O$56),"")</f>
        <v/>
      </c>
      <c r="K35" s="65" t="str">
        <f>IF(AND('Mapa final'!$Y$57="Media",'Mapa final'!$AA$57="Leve"),CONCATENATE("R10C",'Mapa final'!$O$57),"")</f>
        <v/>
      </c>
      <c r="L35" s="65" t="str">
        <f>IF(AND('Mapa final'!$Y$58="Media",'Mapa final'!$AA$58="Leve"),CONCATENATE("R10C",'Mapa final'!$O$58),"")</f>
        <v/>
      </c>
      <c r="M35" s="65" t="str">
        <f>IF(AND('Mapa final'!$Y$59="Media",'Mapa final'!$AA$59="Leve"),CONCATENATE("R10C",'Mapa final'!$O$59),"")</f>
        <v/>
      </c>
      <c r="N35" s="65" t="str">
        <f>IF(AND('Mapa final'!$Y$60="Media",'Mapa final'!$AA$60="Leve"),CONCATENATE("R10C",'Mapa final'!$O$60),"")</f>
        <v/>
      </c>
      <c r="O35" s="66" t="str">
        <f>IF(AND('Mapa final'!$Y$61="Media",'Mapa final'!$AA$61="Leve"),CONCATENATE("R10C",'Mapa final'!$O$61),"")</f>
        <v/>
      </c>
      <c r="P35" s="64" t="str">
        <f>IF(AND('Mapa final'!$Y$56="Media",'Mapa final'!$AA$56="Menor"),CONCATENATE("R10C",'Mapa final'!$O$56),"")</f>
        <v/>
      </c>
      <c r="Q35" s="65" t="str">
        <f>IF(AND('Mapa final'!$Y$57="Media",'Mapa final'!$AA$57="Menor"),CONCATENATE("R10C",'Mapa final'!$O$57),"")</f>
        <v/>
      </c>
      <c r="R35" s="65" t="str">
        <f>IF(AND('Mapa final'!$Y$58="Media",'Mapa final'!$AA$58="Menor"),CONCATENATE("R10C",'Mapa final'!$O$58),"")</f>
        <v/>
      </c>
      <c r="S35" s="65" t="str">
        <f>IF(AND('Mapa final'!$Y$59="Media",'Mapa final'!$AA$59="Menor"),CONCATENATE("R10C",'Mapa final'!$O$59),"")</f>
        <v/>
      </c>
      <c r="T35" s="65" t="str">
        <f>IF(AND('Mapa final'!$Y$60="Media",'Mapa final'!$AA$60="Menor"),CONCATENATE("R10C",'Mapa final'!$O$60),"")</f>
        <v/>
      </c>
      <c r="U35" s="66" t="str">
        <f>IF(AND('Mapa final'!$Y$61="Media",'Mapa final'!$AA$61="Menor"),CONCATENATE("R10C",'Mapa final'!$O$61),"")</f>
        <v/>
      </c>
      <c r="V35" s="64" t="str">
        <f>IF(AND('Mapa final'!$Y$56="Media",'Mapa final'!$AA$56="Moderado"),CONCATENATE("R10C",'Mapa final'!$O$56),"")</f>
        <v/>
      </c>
      <c r="W35" s="65" t="str">
        <f>IF(AND('Mapa final'!$Y$57="Media",'Mapa final'!$AA$57="Moderado"),CONCATENATE("R10C",'Mapa final'!$O$57),"")</f>
        <v/>
      </c>
      <c r="X35" s="65" t="str">
        <f>IF(AND('Mapa final'!$Y$58="Media",'Mapa final'!$AA$58="Moderado"),CONCATENATE("R10C",'Mapa final'!$O$58),"")</f>
        <v/>
      </c>
      <c r="Y35" s="65" t="str">
        <f>IF(AND('Mapa final'!$Y$59="Media",'Mapa final'!$AA$59="Moderado"),CONCATENATE("R10C",'Mapa final'!$O$59),"")</f>
        <v/>
      </c>
      <c r="Z35" s="65" t="str">
        <f>IF(AND('Mapa final'!$Y$60="Media",'Mapa final'!$AA$60="Moderado"),CONCATENATE("R10C",'Mapa final'!$O$60),"")</f>
        <v/>
      </c>
      <c r="AA35" s="66" t="str">
        <f>IF(AND('Mapa final'!$Y$61="Media",'Mapa final'!$AA$61="Moderado"),CONCATENATE("R10C",'Mapa final'!$O$61),"")</f>
        <v/>
      </c>
      <c r="AB35" s="55" t="str">
        <f>IF(AND('Mapa final'!$Y$56="Media",'Mapa final'!$AA$56="Mayor"),CONCATENATE("R10C",'Mapa final'!$O$56),"")</f>
        <v/>
      </c>
      <c r="AC35" s="56" t="str">
        <f>IF(AND('Mapa final'!$Y$57="Media",'Mapa final'!$AA$57="Mayor"),CONCATENATE("R10C",'Mapa final'!$O$57),"")</f>
        <v/>
      </c>
      <c r="AD35" s="56" t="str">
        <f>IF(AND('Mapa final'!$Y$58="Media",'Mapa final'!$AA$58="Mayor"),CONCATENATE("R10C",'Mapa final'!$O$58),"")</f>
        <v/>
      </c>
      <c r="AE35" s="56" t="str">
        <f>IF(AND('Mapa final'!$Y$59="Media",'Mapa final'!$AA$59="Mayor"),CONCATENATE("R10C",'Mapa final'!$O$59),"")</f>
        <v/>
      </c>
      <c r="AF35" s="56" t="str">
        <f>IF(AND('Mapa final'!$Y$60="Media",'Mapa final'!$AA$60="Mayor"),CONCATENATE("R10C",'Mapa final'!$O$60),"")</f>
        <v/>
      </c>
      <c r="AG35" s="57" t="str">
        <f>IF(AND('Mapa final'!$Y$61="Media",'Mapa final'!$AA$61="Mayor"),CONCATENATE("R10C",'Mapa final'!$O$61),"")</f>
        <v/>
      </c>
      <c r="AH35" s="58" t="str">
        <f>IF(AND('Mapa final'!$Y$56="Media",'Mapa final'!$AA$56="Catastrófico"),CONCATENATE("R10C",'Mapa final'!$O$56),"")</f>
        <v/>
      </c>
      <c r="AI35" s="59" t="str">
        <f>IF(AND('Mapa final'!$Y$57="Media",'Mapa final'!$AA$57="Catastrófico"),CONCATENATE("R10C",'Mapa final'!$O$57),"")</f>
        <v/>
      </c>
      <c r="AJ35" s="59" t="str">
        <f>IF(AND('Mapa final'!$Y$58="Media",'Mapa final'!$AA$58="Catastrófico"),CONCATENATE("R10C",'Mapa final'!$O$58),"")</f>
        <v/>
      </c>
      <c r="AK35" s="59" t="str">
        <f>IF(AND('Mapa final'!$Y$59="Media",'Mapa final'!$AA$59="Catastrófico"),CONCATENATE("R10C",'Mapa final'!$O$59),"")</f>
        <v/>
      </c>
      <c r="AL35" s="59" t="str">
        <f>IF(AND('Mapa final'!$Y$60="Media",'Mapa final'!$AA$60="Catastrófico"),CONCATENATE("R10C",'Mapa final'!$O$60),"")</f>
        <v/>
      </c>
      <c r="AM35" s="60" t="str">
        <f>IF(AND('Mapa final'!$Y$61="Media",'Mapa final'!$AA$61="Catastrófico"),CONCATENATE("R10C",'Mapa final'!$O$61),"")</f>
        <v/>
      </c>
      <c r="AN35" s="80"/>
      <c r="AO35" s="321"/>
      <c r="AP35" s="322"/>
      <c r="AQ35" s="322"/>
      <c r="AR35" s="322"/>
      <c r="AS35" s="322"/>
      <c r="AT35" s="323"/>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301"/>
      <c r="C36" s="301"/>
      <c r="D36" s="302"/>
      <c r="E36" s="282" t="s">
        <v>114</v>
      </c>
      <c r="F36" s="283"/>
      <c r="G36" s="283"/>
      <c r="H36" s="283"/>
      <c r="I36" s="283"/>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306" t="s">
        <v>82</v>
      </c>
      <c r="AP36" s="307"/>
      <c r="AQ36" s="307"/>
      <c r="AR36" s="307"/>
      <c r="AS36" s="307"/>
      <c r="AT36" s="308"/>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301"/>
      <c r="C37" s="301"/>
      <c r="D37" s="302"/>
      <c r="E37" s="284"/>
      <c r="F37" s="285"/>
      <c r="G37" s="285"/>
      <c r="H37" s="285"/>
      <c r="I37" s="285"/>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R2C1</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309"/>
      <c r="AP37" s="310"/>
      <c r="AQ37" s="310"/>
      <c r="AR37" s="310"/>
      <c r="AS37" s="310"/>
      <c r="AT37" s="311"/>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301"/>
      <c r="C38" s="301"/>
      <c r="D38" s="302"/>
      <c r="E38" s="286"/>
      <c r="F38" s="285"/>
      <c r="G38" s="285"/>
      <c r="H38" s="285"/>
      <c r="I38" s="285"/>
      <c r="J38" s="73" t="str">
        <f>IF(AND('Mapa final'!$Y$22="Baja",'Mapa final'!$AA$22="Leve"),CONCATENATE("R3C",'Mapa final'!$O$22),"")</f>
        <v/>
      </c>
      <c r="K38" s="74" t="e">
        <f>IF(AND('Mapa final'!#REF!="Baja",'Mapa final'!#REF!="Leve"),CONCATENATE("R3C",'Mapa final'!#REF!),"")</f>
        <v>#REF!</v>
      </c>
      <c r="L38" s="74" t="str">
        <f>IF(AND('Mapa final'!$Y$23="Baja",'Mapa final'!$AA$23="Leve"),CONCATENATE("R3C",'Mapa final'!$O$23),"")</f>
        <v/>
      </c>
      <c r="M38" s="74" t="str">
        <f>IF(AND('Mapa final'!$Y$24="Baja",'Mapa final'!$AA$24="Leve"),CONCATENATE("R3C",'Mapa final'!$O$24),"")</f>
        <v/>
      </c>
      <c r="N38" s="74" t="str">
        <f>IF(AND('Mapa final'!$Y$25="Baja",'Mapa final'!$AA$25="Leve"),CONCATENATE("R3C",'Mapa final'!$O$25),"")</f>
        <v/>
      </c>
      <c r="O38" s="75" t="str">
        <f>IF(AND('Mapa final'!$Y$26="Baja",'Mapa final'!$AA$26="Leve"),CONCATENATE("R3C",'Mapa final'!$O$26),"")</f>
        <v/>
      </c>
      <c r="P38" s="64" t="str">
        <f>IF(AND('Mapa final'!$Y$22="Baja",'Mapa final'!$AA$22="Menor"),CONCATENATE("R3C",'Mapa final'!$O$22),"")</f>
        <v/>
      </c>
      <c r="Q38" s="65" t="e">
        <f>IF(AND('Mapa final'!#REF!="Baja",'Mapa final'!#REF!="Menor"),CONCATENATE("R3C",'Mapa final'!#REF!),"")</f>
        <v>#REF!</v>
      </c>
      <c r="R38" s="65" t="str">
        <f>IF(AND('Mapa final'!$Y$23="Baja",'Mapa final'!$AA$23="Menor"),CONCATENATE("R3C",'Mapa final'!$O$23),"")</f>
        <v/>
      </c>
      <c r="S38" s="65" t="str">
        <f>IF(AND('Mapa final'!$Y$24="Baja",'Mapa final'!$AA$24="Menor"),CONCATENATE("R3C",'Mapa final'!$O$24),"")</f>
        <v/>
      </c>
      <c r="T38" s="65" t="str">
        <f>IF(AND('Mapa final'!$Y$25="Baja",'Mapa final'!$AA$25="Menor"),CONCATENATE("R3C",'Mapa final'!$O$25),"")</f>
        <v/>
      </c>
      <c r="U38" s="66" t="str">
        <f>IF(AND('Mapa final'!$Y$26="Baja",'Mapa final'!$AA$26="Menor"),CONCATENATE("R3C",'Mapa final'!$O$26),"")</f>
        <v/>
      </c>
      <c r="V38" s="64" t="str">
        <f>IF(AND('Mapa final'!$Y$22="Baja",'Mapa final'!$AA$22="Moderado"),CONCATENATE("R3C",'Mapa final'!$O$22),"")</f>
        <v/>
      </c>
      <c r="W38" s="65" t="e">
        <f>IF(AND('Mapa final'!#REF!="Baja",'Mapa final'!#REF!="Moderado"),CONCATENATE("R3C",'Mapa final'!#REF!),"")</f>
        <v>#REF!</v>
      </c>
      <c r="X38" s="65" t="str">
        <f>IF(AND('Mapa final'!$Y$23="Baja",'Mapa final'!$AA$23="Moderado"),CONCATENATE("R3C",'Mapa final'!$O$23),"")</f>
        <v/>
      </c>
      <c r="Y38" s="65" t="str">
        <f>IF(AND('Mapa final'!$Y$24="Baja",'Mapa final'!$AA$24="Moderado"),CONCATENATE("R3C",'Mapa final'!$O$24),"")</f>
        <v/>
      </c>
      <c r="Z38" s="65" t="str">
        <f>IF(AND('Mapa final'!$Y$25="Baja",'Mapa final'!$AA$25="Moderado"),CONCATENATE("R3C",'Mapa final'!$O$25),"")</f>
        <v/>
      </c>
      <c r="AA38" s="66" t="str">
        <f>IF(AND('Mapa final'!$Y$26="Baja",'Mapa final'!$AA$26="Moderado"),CONCATENATE("R3C",'Mapa final'!$O$26),"")</f>
        <v/>
      </c>
      <c r="AB38" s="49" t="str">
        <f>IF(AND('Mapa final'!$Y$22="Baja",'Mapa final'!$AA$22="Mayor"),CONCATENATE("R3C",'Mapa final'!$O$22),"")</f>
        <v/>
      </c>
      <c r="AC38" s="50" t="e">
        <f>IF(AND('Mapa final'!#REF!="Baja",'Mapa final'!#REF!="Mayor"),CONCATENATE("R3C",'Mapa final'!#REF!),"")</f>
        <v>#REF!</v>
      </c>
      <c r="AD38" s="50" t="str">
        <f>IF(AND('Mapa final'!$Y$23="Baja",'Mapa final'!$AA$23="Mayor"),CONCATENATE("R3C",'Mapa final'!$O$23),"")</f>
        <v/>
      </c>
      <c r="AE38" s="50" t="str">
        <f>IF(AND('Mapa final'!$Y$24="Baja",'Mapa final'!$AA$24="Mayor"),CONCATENATE("R3C",'Mapa final'!$O$24),"")</f>
        <v/>
      </c>
      <c r="AF38" s="50" t="str">
        <f>IF(AND('Mapa final'!$Y$25="Baja",'Mapa final'!$AA$25="Mayor"),CONCATENATE("R3C",'Mapa final'!$O$25),"")</f>
        <v/>
      </c>
      <c r="AG38" s="51" t="str">
        <f>IF(AND('Mapa final'!$Y$26="Baja",'Mapa final'!$AA$26="Mayor"),CONCATENATE("R3C",'Mapa final'!$O$26),"")</f>
        <v/>
      </c>
      <c r="AH38" s="52" t="str">
        <f>IF(AND('Mapa final'!$Y$22="Baja",'Mapa final'!$AA$22="Catastrófico"),CONCATENATE("R3C",'Mapa final'!$O$22),"")</f>
        <v/>
      </c>
      <c r="AI38" s="53" t="e">
        <f>IF(AND('Mapa final'!#REF!="Baja",'Mapa final'!#REF!="Catastrófico"),CONCATENATE("R3C",'Mapa final'!#REF!),"")</f>
        <v>#REF!</v>
      </c>
      <c r="AJ38" s="53" t="str">
        <f>IF(AND('Mapa final'!$Y$23="Baja",'Mapa final'!$AA$23="Catastrófico"),CONCATENATE("R3C",'Mapa final'!$O$23),"")</f>
        <v/>
      </c>
      <c r="AK38" s="53" t="str">
        <f>IF(AND('Mapa final'!$Y$24="Baja",'Mapa final'!$AA$24="Catastrófico"),CONCATENATE("R3C",'Mapa final'!$O$24),"")</f>
        <v/>
      </c>
      <c r="AL38" s="53" t="str">
        <f>IF(AND('Mapa final'!$Y$25="Baja",'Mapa final'!$AA$25="Catastrófico"),CONCATENATE("R3C",'Mapa final'!$O$25),"")</f>
        <v/>
      </c>
      <c r="AM38" s="54" t="str">
        <f>IF(AND('Mapa final'!$Y$26="Baja",'Mapa final'!$AA$26="Catastrófico"),CONCATENATE("R3C",'Mapa final'!$O$26),"")</f>
        <v/>
      </c>
      <c r="AN38" s="80"/>
      <c r="AO38" s="309"/>
      <c r="AP38" s="310"/>
      <c r="AQ38" s="310"/>
      <c r="AR38" s="310"/>
      <c r="AS38" s="310"/>
      <c r="AT38" s="311"/>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301"/>
      <c r="C39" s="301"/>
      <c r="D39" s="302"/>
      <c r="E39" s="286"/>
      <c r="F39" s="285"/>
      <c r="G39" s="285"/>
      <c r="H39" s="285"/>
      <c r="I39" s="285"/>
      <c r="J39" s="73" t="str">
        <f>IF(AND('Mapa final'!$Y$27="Baja",'Mapa final'!$AA$27="Leve"),CONCATENATE("R4C",'Mapa final'!$O$27),"")</f>
        <v/>
      </c>
      <c r="K39" s="74" t="e">
        <f>IF(AND('Mapa final'!#REF!="Baja",'Mapa final'!#REF!="Leve"),CONCATENATE("R4C",'Mapa final'!#REF!),"")</f>
        <v>#REF!</v>
      </c>
      <c r="L39" s="74" t="str">
        <f>IF(AND('Mapa final'!$Y$28="Baja",'Mapa final'!$AA$28="Leve"),CONCATENATE("R4C",'Mapa final'!$O$28),"")</f>
        <v/>
      </c>
      <c r="M39" s="74" t="str">
        <f>IF(AND('Mapa final'!$Y$29="Baja",'Mapa final'!$AA$29="Leve"),CONCATENATE("R4C",'Mapa final'!$O$29),"")</f>
        <v/>
      </c>
      <c r="N39" s="74" t="str">
        <f>IF(AND('Mapa final'!$Y$30="Baja",'Mapa final'!$AA$30="Leve"),CONCATENATE("R4C",'Mapa final'!$O$30),"")</f>
        <v/>
      </c>
      <c r="O39" s="75" t="str">
        <f>IF(AND('Mapa final'!$Y$31="Baja",'Mapa final'!$AA$31="Leve"),CONCATENATE("R4C",'Mapa final'!$O$31),"")</f>
        <v/>
      </c>
      <c r="P39" s="64" t="str">
        <f>IF(AND('Mapa final'!$Y$27="Baja",'Mapa final'!$AA$27="Menor"),CONCATENATE("R4C",'Mapa final'!$O$27),"")</f>
        <v/>
      </c>
      <c r="Q39" s="65" t="e">
        <f>IF(AND('Mapa final'!#REF!="Baja",'Mapa final'!#REF!="Menor"),CONCATENATE("R4C",'Mapa final'!#REF!),"")</f>
        <v>#REF!</v>
      </c>
      <c r="R39" s="65" t="str">
        <f>IF(AND('Mapa final'!$Y$28="Baja",'Mapa final'!$AA$28="Menor"),CONCATENATE("R4C",'Mapa final'!$O$28),"")</f>
        <v/>
      </c>
      <c r="S39" s="65" t="str">
        <f>IF(AND('Mapa final'!$Y$29="Baja",'Mapa final'!$AA$29="Menor"),CONCATENATE("R4C",'Mapa final'!$O$29),"")</f>
        <v/>
      </c>
      <c r="T39" s="65" t="str">
        <f>IF(AND('Mapa final'!$Y$30="Baja",'Mapa final'!$AA$30="Menor"),CONCATENATE("R4C",'Mapa final'!$O$30),"")</f>
        <v/>
      </c>
      <c r="U39" s="66" t="str">
        <f>IF(AND('Mapa final'!$Y$31="Baja",'Mapa final'!$AA$31="Menor"),CONCATENATE("R4C",'Mapa final'!$O$31),"")</f>
        <v/>
      </c>
      <c r="V39" s="64" t="str">
        <f>IF(AND('Mapa final'!$Y$27="Baja",'Mapa final'!$AA$27="Moderado"),CONCATENATE("R4C",'Mapa final'!$O$27),"")</f>
        <v/>
      </c>
      <c r="W39" s="65" t="e">
        <f>IF(AND('Mapa final'!#REF!="Baja",'Mapa final'!#REF!="Moderado"),CONCATENATE("R4C",'Mapa final'!#REF!),"")</f>
        <v>#REF!</v>
      </c>
      <c r="X39" s="65" t="str">
        <f>IF(AND('Mapa final'!$Y$28="Baja",'Mapa final'!$AA$28="Moderado"),CONCATENATE("R4C",'Mapa final'!$O$28),"")</f>
        <v/>
      </c>
      <c r="Y39" s="65" t="str">
        <f>IF(AND('Mapa final'!$Y$29="Baja",'Mapa final'!$AA$29="Moderado"),CONCATENATE("R4C",'Mapa final'!$O$29),"")</f>
        <v/>
      </c>
      <c r="Z39" s="65" t="str">
        <f>IF(AND('Mapa final'!$Y$30="Baja",'Mapa final'!$AA$30="Moderado"),CONCATENATE("R4C",'Mapa final'!$O$30),"")</f>
        <v/>
      </c>
      <c r="AA39" s="66" t="str">
        <f>IF(AND('Mapa final'!$Y$31="Baja",'Mapa final'!$AA$31="Moderado"),CONCATENATE("R4C",'Mapa final'!$O$31),"")</f>
        <v/>
      </c>
      <c r="AB39" s="49" t="str">
        <f>IF(AND('Mapa final'!$Y$27="Baja",'Mapa final'!$AA$27="Mayor"),CONCATENATE("R4C",'Mapa final'!$O$27),"")</f>
        <v>R4C1</v>
      </c>
      <c r="AC39" s="50" t="e">
        <f>IF(AND('Mapa final'!#REF!="Baja",'Mapa final'!#REF!="Mayor"),CONCATENATE("R4C",'Mapa final'!#REF!),"")</f>
        <v>#REF!</v>
      </c>
      <c r="AD39" s="50" t="str">
        <f>IF(AND('Mapa final'!$Y$28="Baja",'Mapa final'!$AA$28="Mayor"),CONCATENATE("R4C",'Mapa final'!$O$28),"")</f>
        <v/>
      </c>
      <c r="AE39" s="50" t="str">
        <f>IF(AND('Mapa final'!$Y$29="Baja",'Mapa final'!$AA$29="Mayor"),CONCATENATE("R4C",'Mapa final'!$O$29),"")</f>
        <v/>
      </c>
      <c r="AF39" s="50" t="str">
        <f>IF(AND('Mapa final'!$Y$30="Baja",'Mapa final'!$AA$30="Mayor"),CONCATENATE("R4C",'Mapa final'!$O$30),"")</f>
        <v/>
      </c>
      <c r="AG39" s="51" t="str">
        <f>IF(AND('Mapa final'!$Y$31="Baja",'Mapa final'!$AA$31="Mayor"),CONCATENATE("R4C",'Mapa final'!$O$31),"")</f>
        <v/>
      </c>
      <c r="AH39" s="52" t="str">
        <f>IF(AND('Mapa final'!$Y$27="Baja",'Mapa final'!$AA$27="Catastrófico"),CONCATENATE("R4C",'Mapa final'!$O$27),"")</f>
        <v/>
      </c>
      <c r="AI39" s="53" t="e">
        <f>IF(AND('Mapa final'!#REF!="Baja",'Mapa final'!#REF!="Catastrófico"),CONCATENATE("R4C",'Mapa final'!#REF!),"")</f>
        <v>#REF!</v>
      </c>
      <c r="AJ39" s="53" t="str">
        <f>IF(AND('Mapa final'!$Y$28="Baja",'Mapa final'!$AA$28="Catastrófico"),CONCATENATE("R4C",'Mapa final'!$O$28),"")</f>
        <v/>
      </c>
      <c r="AK39" s="53" t="str">
        <f>IF(AND('Mapa final'!$Y$29="Baja",'Mapa final'!$AA$29="Catastrófico"),CONCATENATE("R4C",'Mapa final'!$O$29),"")</f>
        <v/>
      </c>
      <c r="AL39" s="53" t="str">
        <f>IF(AND('Mapa final'!$Y$30="Baja",'Mapa final'!$AA$30="Catastrófico"),CONCATENATE("R4C",'Mapa final'!$O$30),"")</f>
        <v/>
      </c>
      <c r="AM39" s="54" t="str">
        <f>IF(AND('Mapa final'!$Y$31="Baja",'Mapa final'!$AA$31="Catastrófico"),CONCATENATE("R4C",'Mapa final'!$O$31),"")</f>
        <v/>
      </c>
      <c r="AN39" s="80"/>
      <c r="AO39" s="309"/>
      <c r="AP39" s="310"/>
      <c r="AQ39" s="310"/>
      <c r="AR39" s="310"/>
      <c r="AS39" s="310"/>
      <c r="AT39" s="311"/>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301"/>
      <c r="C40" s="301"/>
      <c r="D40" s="302"/>
      <c r="E40" s="286"/>
      <c r="F40" s="285"/>
      <c r="G40" s="285"/>
      <c r="H40" s="285"/>
      <c r="I40" s="285"/>
      <c r="J40" s="73" t="str">
        <f>IF(AND('Mapa final'!$Y$32="Baja",'Mapa final'!$AA$32="Leve"),CONCATENATE("R5C",'Mapa final'!$O$32),"")</f>
        <v/>
      </c>
      <c r="K40" s="74" t="str">
        <f>IF(AND('Mapa final'!$Y$33="Baja",'Mapa final'!$AA$33="Leve"),CONCATENATE("R5C",'Mapa final'!$O$33),"")</f>
        <v/>
      </c>
      <c r="L40" s="74" t="str">
        <f>IF(AND('Mapa final'!$Y$34="Baja",'Mapa final'!$AA$34="Leve"),CONCATENATE("R5C",'Mapa final'!$O$34),"")</f>
        <v/>
      </c>
      <c r="M40" s="74" t="str">
        <f>IF(AND('Mapa final'!$Y$35="Baja",'Mapa final'!$AA$35="Leve"),CONCATENATE("R5C",'Mapa final'!$O$35),"")</f>
        <v/>
      </c>
      <c r="N40" s="74" t="str">
        <f>IF(AND('Mapa final'!$Y$36="Baja",'Mapa final'!$AA$36="Leve"),CONCATENATE("R5C",'Mapa final'!$O$36),"")</f>
        <v/>
      </c>
      <c r="O40" s="75" t="str">
        <f>IF(AND('Mapa final'!$Y$37="Baja",'Mapa final'!$AA$37="Leve"),CONCATENATE("R5C",'Mapa final'!$O$37),"")</f>
        <v/>
      </c>
      <c r="P40" s="64" t="str">
        <f>IF(AND('Mapa final'!$Y$32="Baja",'Mapa final'!$AA$32="Menor"),CONCATENATE("R5C",'Mapa final'!$O$32),"")</f>
        <v/>
      </c>
      <c r="Q40" s="65" t="str">
        <f>IF(AND('Mapa final'!$Y$33="Baja",'Mapa final'!$AA$33="Menor"),CONCATENATE("R5C",'Mapa final'!$O$33),"")</f>
        <v/>
      </c>
      <c r="R40" s="65" t="str">
        <f>IF(AND('Mapa final'!$Y$34="Baja",'Mapa final'!$AA$34="Menor"),CONCATENATE("R5C",'Mapa final'!$O$34),"")</f>
        <v/>
      </c>
      <c r="S40" s="65" t="str">
        <f>IF(AND('Mapa final'!$Y$35="Baja",'Mapa final'!$AA$35="Menor"),CONCATENATE("R5C",'Mapa final'!$O$35),"")</f>
        <v/>
      </c>
      <c r="T40" s="65" t="str">
        <f>IF(AND('Mapa final'!$Y$36="Baja",'Mapa final'!$AA$36="Menor"),CONCATENATE("R5C",'Mapa final'!$O$36),"")</f>
        <v/>
      </c>
      <c r="U40" s="66" t="str">
        <f>IF(AND('Mapa final'!$Y$37="Baja",'Mapa final'!$AA$37="Menor"),CONCATENATE("R5C",'Mapa final'!$O$37),"")</f>
        <v/>
      </c>
      <c r="V40" s="64" t="str">
        <f>IF(AND('Mapa final'!$Y$32="Baja",'Mapa final'!$AA$32="Moderado"),CONCATENATE("R5C",'Mapa final'!$O$32),"")</f>
        <v/>
      </c>
      <c r="W40" s="65" t="str">
        <f>IF(AND('Mapa final'!$Y$33="Baja",'Mapa final'!$AA$33="Moderado"),CONCATENATE("R5C",'Mapa final'!$O$33),"")</f>
        <v/>
      </c>
      <c r="X40" s="65" t="str">
        <f>IF(AND('Mapa final'!$Y$34="Baja",'Mapa final'!$AA$34="Moderado"),CONCATENATE("R5C",'Mapa final'!$O$34),"")</f>
        <v/>
      </c>
      <c r="Y40" s="65" t="str">
        <f>IF(AND('Mapa final'!$Y$35="Baja",'Mapa final'!$AA$35="Moderado"),CONCATENATE("R5C",'Mapa final'!$O$35),"")</f>
        <v/>
      </c>
      <c r="Z40" s="65" t="str">
        <f>IF(AND('Mapa final'!$Y$36="Baja",'Mapa final'!$AA$36="Moderado"),CONCATENATE("R5C",'Mapa final'!$O$36),"")</f>
        <v/>
      </c>
      <c r="AA40" s="66" t="str">
        <f>IF(AND('Mapa final'!$Y$37="Baja",'Mapa final'!$AA$37="Moderado"),CONCATENATE("R5C",'Mapa final'!$O$37),"")</f>
        <v/>
      </c>
      <c r="AB40" s="49" t="str">
        <f>IF(AND('Mapa final'!$Y$32="Baja",'Mapa final'!$AA$32="Mayor"),CONCATENATE("R5C",'Mapa final'!$O$32),"")</f>
        <v/>
      </c>
      <c r="AC40" s="50" t="str">
        <f>IF(AND('Mapa final'!$Y$33="Baja",'Mapa final'!$AA$33="Mayor"),CONCATENATE("R5C",'Mapa final'!$O$33),"")</f>
        <v/>
      </c>
      <c r="AD40" s="50" t="str">
        <f>IF(AND('Mapa final'!$Y$34="Baja",'Mapa final'!$AA$34="Mayor"),CONCATENATE("R5C",'Mapa final'!$O$34),"")</f>
        <v/>
      </c>
      <c r="AE40" s="50" t="str">
        <f>IF(AND('Mapa final'!$Y$35="Baja",'Mapa final'!$AA$35="Mayor"),CONCATENATE("R5C",'Mapa final'!$O$35),"")</f>
        <v/>
      </c>
      <c r="AF40" s="50" t="str">
        <f>IF(AND('Mapa final'!$Y$36="Baja",'Mapa final'!$AA$36="Mayor"),CONCATENATE("R5C",'Mapa final'!$O$36),"")</f>
        <v/>
      </c>
      <c r="AG40" s="51" t="str">
        <f>IF(AND('Mapa final'!$Y$37="Baja",'Mapa final'!$AA$37="Mayor"),CONCATENATE("R5C",'Mapa final'!$O$37),"")</f>
        <v/>
      </c>
      <c r="AH40" s="52" t="str">
        <f>IF(AND('Mapa final'!$Y$32="Baja",'Mapa final'!$AA$32="Catastrófico"),CONCATENATE("R5C",'Mapa final'!$O$32),"")</f>
        <v/>
      </c>
      <c r="AI40" s="53" t="str">
        <f>IF(AND('Mapa final'!$Y$33="Baja",'Mapa final'!$AA$33="Catastrófico"),CONCATENATE("R5C",'Mapa final'!$O$33),"")</f>
        <v/>
      </c>
      <c r="AJ40" s="53" t="str">
        <f>IF(AND('Mapa final'!$Y$34="Baja",'Mapa final'!$AA$34="Catastrófico"),CONCATENATE("R5C",'Mapa final'!$O$34),"")</f>
        <v/>
      </c>
      <c r="AK40" s="53" t="str">
        <f>IF(AND('Mapa final'!$Y$35="Baja",'Mapa final'!$AA$35="Catastrófico"),CONCATENATE("R5C",'Mapa final'!$O$35),"")</f>
        <v/>
      </c>
      <c r="AL40" s="53" t="str">
        <f>IF(AND('Mapa final'!$Y$36="Baja",'Mapa final'!$AA$36="Catastrófico"),CONCATENATE("R5C",'Mapa final'!$O$36),"")</f>
        <v/>
      </c>
      <c r="AM40" s="54" t="str">
        <f>IF(AND('Mapa final'!$Y$37="Baja",'Mapa final'!$AA$37="Catastrófico"),CONCATENATE("R5C",'Mapa final'!$O$37),"")</f>
        <v/>
      </c>
      <c r="AN40" s="80"/>
      <c r="AO40" s="309"/>
      <c r="AP40" s="310"/>
      <c r="AQ40" s="310"/>
      <c r="AR40" s="310"/>
      <c r="AS40" s="310"/>
      <c r="AT40" s="311"/>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301"/>
      <c r="C41" s="301"/>
      <c r="D41" s="302"/>
      <c r="E41" s="286"/>
      <c r="F41" s="285"/>
      <c r="G41" s="285"/>
      <c r="H41" s="285"/>
      <c r="I41" s="285"/>
      <c r="J41" s="73" t="e">
        <f>IF(AND('Mapa final'!#REF!="Baja",'Mapa final'!#REF!="Leve"),CONCATENATE("R6C",'Mapa final'!#REF!),"")</f>
        <v>#REF!</v>
      </c>
      <c r="K41" s="74" t="e">
        <f>IF(AND('Mapa final'!#REF!="Baja",'Mapa final'!#REF!="Leve"),CONCATENATE("R6C",'Mapa final'!#REF!),"")</f>
        <v>#REF!</v>
      </c>
      <c r="L41" s="74" t="e">
        <f>IF(AND('Mapa final'!#REF!="Baja",'Mapa final'!#REF!="Leve"),CONCATENATE("R6C",'Mapa final'!#REF!),"")</f>
        <v>#REF!</v>
      </c>
      <c r="M41" s="74" t="e">
        <f>IF(AND('Mapa final'!#REF!="Baja",'Mapa final'!#REF!="Leve"),CONCATENATE("R6C",'Mapa final'!#REF!),"")</f>
        <v>#REF!</v>
      </c>
      <c r="N41" s="74" t="e">
        <f>IF(AND('Mapa final'!#REF!="Baja",'Mapa final'!#REF!="Leve"),CONCATENATE("R6C",'Mapa final'!#REF!),"")</f>
        <v>#REF!</v>
      </c>
      <c r="O41" s="75" t="e">
        <f>IF(AND('Mapa final'!#REF!="Baja",'Mapa final'!#REF!="Leve"),CONCATENATE("R6C",'Mapa final'!#REF!),"")</f>
        <v>#REF!</v>
      </c>
      <c r="P41" s="64" t="e">
        <f>IF(AND('Mapa final'!#REF!="Baja",'Mapa final'!#REF!="Menor"),CONCATENATE("R6C",'Mapa final'!#REF!),"")</f>
        <v>#REF!</v>
      </c>
      <c r="Q41" s="65" t="e">
        <f>IF(AND('Mapa final'!#REF!="Baja",'Mapa final'!#REF!="Menor"),CONCATENATE("R6C",'Mapa final'!#REF!),"")</f>
        <v>#REF!</v>
      </c>
      <c r="R41" s="65" t="e">
        <f>IF(AND('Mapa final'!#REF!="Baja",'Mapa final'!#REF!="Menor"),CONCATENATE("R6C",'Mapa final'!#REF!),"")</f>
        <v>#REF!</v>
      </c>
      <c r="S41" s="65" t="e">
        <f>IF(AND('Mapa final'!#REF!="Baja",'Mapa final'!#REF!="Menor"),CONCATENATE("R6C",'Mapa final'!#REF!),"")</f>
        <v>#REF!</v>
      </c>
      <c r="T41" s="65" t="e">
        <f>IF(AND('Mapa final'!#REF!="Baja",'Mapa final'!#REF!="Menor"),CONCATENATE("R6C",'Mapa final'!#REF!),"")</f>
        <v>#REF!</v>
      </c>
      <c r="U41" s="66" t="e">
        <f>IF(AND('Mapa final'!#REF!="Baja",'Mapa final'!#REF!="Menor"),CONCATENATE("R6C",'Mapa final'!#REF!),"")</f>
        <v>#REF!</v>
      </c>
      <c r="V41" s="64" t="e">
        <f>IF(AND('Mapa final'!#REF!="Baja",'Mapa final'!#REF!="Moderado"),CONCATENATE("R6C",'Mapa final'!#REF!),"")</f>
        <v>#REF!</v>
      </c>
      <c r="W41" s="65" t="e">
        <f>IF(AND('Mapa final'!#REF!="Baja",'Mapa final'!#REF!="Moderado"),CONCATENATE("R6C",'Mapa final'!#REF!),"")</f>
        <v>#REF!</v>
      </c>
      <c r="X41" s="65" t="e">
        <f>IF(AND('Mapa final'!#REF!="Baja",'Mapa final'!#REF!="Moderado"),CONCATENATE("R6C",'Mapa final'!#REF!),"")</f>
        <v>#REF!</v>
      </c>
      <c r="Y41" s="65" t="e">
        <f>IF(AND('Mapa final'!#REF!="Baja",'Mapa final'!#REF!="Moderado"),CONCATENATE("R6C",'Mapa final'!#REF!),"")</f>
        <v>#REF!</v>
      </c>
      <c r="Z41" s="65" t="e">
        <f>IF(AND('Mapa final'!#REF!="Baja",'Mapa final'!#REF!="Moderado"),CONCATENATE("R6C",'Mapa final'!#REF!),"")</f>
        <v>#REF!</v>
      </c>
      <c r="AA41" s="66" t="e">
        <f>IF(AND('Mapa final'!#REF!="Baja",'Mapa final'!#REF!="Moderado"),CONCATENATE("R6C",'Mapa final'!#REF!),"")</f>
        <v>#REF!</v>
      </c>
      <c r="AB41" s="49" t="e">
        <f>IF(AND('Mapa final'!#REF!="Baja",'Mapa final'!#REF!="Mayor"),CONCATENATE("R6C",'Mapa final'!#REF!),"")</f>
        <v>#REF!</v>
      </c>
      <c r="AC41" s="50" t="e">
        <f>IF(AND('Mapa final'!#REF!="Baja",'Mapa final'!#REF!="Mayor"),CONCATENATE("R6C",'Mapa final'!#REF!),"")</f>
        <v>#REF!</v>
      </c>
      <c r="AD41" s="50" t="e">
        <f>IF(AND('Mapa final'!#REF!="Baja",'Mapa final'!#REF!="Mayor"),CONCATENATE("R6C",'Mapa final'!#REF!),"")</f>
        <v>#REF!</v>
      </c>
      <c r="AE41" s="50" t="e">
        <f>IF(AND('Mapa final'!#REF!="Baja",'Mapa final'!#REF!="Mayor"),CONCATENATE("R6C",'Mapa final'!#REF!),"")</f>
        <v>#REF!</v>
      </c>
      <c r="AF41" s="50" t="e">
        <f>IF(AND('Mapa final'!#REF!="Baja",'Mapa final'!#REF!="Mayor"),CONCATENATE("R6C",'Mapa final'!#REF!),"")</f>
        <v>#REF!</v>
      </c>
      <c r="AG41" s="51" t="e">
        <f>IF(AND('Mapa final'!#REF!="Baja",'Mapa final'!#REF!="Mayor"),CONCATENATE("R6C",'Mapa final'!#REF!),"")</f>
        <v>#REF!</v>
      </c>
      <c r="AH41" s="52" t="e">
        <f>IF(AND('Mapa final'!#REF!="Baja",'Mapa final'!#REF!="Catastrófico"),CONCATENATE("R6C",'Mapa final'!#REF!),"")</f>
        <v>#REF!</v>
      </c>
      <c r="AI41" s="53" t="e">
        <f>IF(AND('Mapa final'!#REF!="Baja",'Mapa final'!#REF!="Catastrófico"),CONCATENATE("R6C",'Mapa final'!#REF!),"")</f>
        <v>#REF!</v>
      </c>
      <c r="AJ41" s="53" t="e">
        <f>IF(AND('Mapa final'!#REF!="Baja",'Mapa final'!#REF!="Catastrófico"),CONCATENATE("R6C",'Mapa final'!#REF!),"")</f>
        <v>#REF!</v>
      </c>
      <c r="AK41" s="53" t="e">
        <f>IF(AND('Mapa final'!#REF!="Baja",'Mapa final'!#REF!="Catastrófico"),CONCATENATE("R6C",'Mapa final'!#REF!),"")</f>
        <v>#REF!</v>
      </c>
      <c r="AL41" s="53" t="e">
        <f>IF(AND('Mapa final'!#REF!="Baja",'Mapa final'!#REF!="Catastrófico"),CONCATENATE("R6C",'Mapa final'!#REF!),"")</f>
        <v>#REF!</v>
      </c>
      <c r="AM41" s="54" t="e">
        <f>IF(AND('Mapa final'!#REF!="Baja",'Mapa final'!#REF!="Catastrófico"),CONCATENATE("R6C",'Mapa final'!#REF!),"")</f>
        <v>#REF!</v>
      </c>
      <c r="AN41" s="80"/>
      <c r="AO41" s="309"/>
      <c r="AP41" s="310"/>
      <c r="AQ41" s="310"/>
      <c r="AR41" s="310"/>
      <c r="AS41" s="310"/>
      <c r="AT41" s="311"/>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301"/>
      <c r="C42" s="301"/>
      <c r="D42" s="302"/>
      <c r="E42" s="286"/>
      <c r="F42" s="285"/>
      <c r="G42" s="285"/>
      <c r="H42" s="285"/>
      <c r="I42" s="285"/>
      <c r="J42" s="73" t="str">
        <f>IF(AND('Mapa final'!$Y$38="Baja",'Mapa final'!$AA$38="Leve"),CONCATENATE("R7C",'Mapa final'!$O$38),"")</f>
        <v/>
      </c>
      <c r="K42" s="74" t="str">
        <f>IF(AND('Mapa final'!$Y$39="Baja",'Mapa final'!$AA$39="Leve"),CONCATENATE("R7C",'Mapa final'!$O$39),"")</f>
        <v/>
      </c>
      <c r="L42" s="74" t="str">
        <f>IF(AND('Mapa final'!$Y$40="Baja",'Mapa final'!$AA$40="Leve"),CONCATENATE("R7C",'Mapa final'!$O$40),"")</f>
        <v/>
      </c>
      <c r="M42" s="74" t="str">
        <f>IF(AND('Mapa final'!$Y$41="Baja",'Mapa final'!$AA$41="Leve"),CONCATENATE("R7C",'Mapa final'!$O$41),"")</f>
        <v/>
      </c>
      <c r="N42" s="74" t="str">
        <f>IF(AND('Mapa final'!$Y$42="Baja",'Mapa final'!$AA$42="Leve"),CONCATENATE("R7C",'Mapa final'!$O$42),"")</f>
        <v/>
      </c>
      <c r="O42" s="75" t="str">
        <f>IF(AND('Mapa final'!$Y$43="Baja",'Mapa final'!$AA$43="Leve"),CONCATENATE("R7C",'Mapa final'!$O$43),"")</f>
        <v/>
      </c>
      <c r="P42" s="64" t="str">
        <f>IF(AND('Mapa final'!$Y$38="Baja",'Mapa final'!$AA$38="Menor"),CONCATENATE("R7C",'Mapa final'!$O$38),"")</f>
        <v/>
      </c>
      <c r="Q42" s="65" t="str">
        <f>IF(AND('Mapa final'!$Y$39="Baja",'Mapa final'!$AA$39="Menor"),CONCATENATE("R7C",'Mapa final'!$O$39),"")</f>
        <v/>
      </c>
      <c r="R42" s="65" t="str">
        <f>IF(AND('Mapa final'!$Y$40="Baja",'Mapa final'!$AA$40="Menor"),CONCATENATE("R7C",'Mapa final'!$O$40),"")</f>
        <v/>
      </c>
      <c r="S42" s="65" t="str">
        <f>IF(AND('Mapa final'!$Y$41="Baja",'Mapa final'!$AA$41="Menor"),CONCATENATE("R7C",'Mapa final'!$O$41),"")</f>
        <v/>
      </c>
      <c r="T42" s="65" t="str">
        <f>IF(AND('Mapa final'!$Y$42="Baja",'Mapa final'!$AA$42="Menor"),CONCATENATE("R7C",'Mapa final'!$O$42),"")</f>
        <v/>
      </c>
      <c r="U42" s="66" t="str">
        <f>IF(AND('Mapa final'!$Y$43="Baja",'Mapa final'!$AA$43="Menor"),CONCATENATE("R7C",'Mapa final'!$O$43),"")</f>
        <v/>
      </c>
      <c r="V42" s="64" t="str">
        <f>IF(AND('Mapa final'!$Y$38="Baja",'Mapa final'!$AA$38="Moderado"),CONCATENATE("R7C",'Mapa final'!$O$38),"")</f>
        <v/>
      </c>
      <c r="W42" s="65" t="str">
        <f>IF(AND('Mapa final'!$Y$39="Baja",'Mapa final'!$AA$39="Moderado"),CONCATENATE("R7C",'Mapa final'!$O$39),"")</f>
        <v/>
      </c>
      <c r="X42" s="65" t="str">
        <f>IF(AND('Mapa final'!$Y$40="Baja",'Mapa final'!$AA$40="Moderado"),CONCATENATE("R7C",'Mapa final'!$O$40),"")</f>
        <v/>
      </c>
      <c r="Y42" s="65" t="str">
        <f>IF(AND('Mapa final'!$Y$41="Baja",'Mapa final'!$AA$41="Moderado"),CONCATENATE("R7C",'Mapa final'!$O$41),"")</f>
        <v/>
      </c>
      <c r="Z42" s="65" t="str">
        <f>IF(AND('Mapa final'!$Y$42="Baja",'Mapa final'!$AA$42="Moderado"),CONCATENATE("R7C",'Mapa final'!$O$42),"")</f>
        <v/>
      </c>
      <c r="AA42" s="66" t="str">
        <f>IF(AND('Mapa final'!$Y$43="Baja",'Mapa final'!$AA$43="Moderado"),CONCATENATE("R7C",'Mapa final'!$O$43),"")</f>
        <v/>
      </c>
      <c r="AB42" s="49" t="str">
        <f>IF(AND('Mapa final'!$Y$38="Baja",'Mapa final'!$AA$38="Mayor"),CONCATENATE("R7C",'Mapa final'!$O$38),"")</f>
        <v/>
      </c>
      <c r="AC42" s="50" t="str">
        <f>IF(AND('Mapa final'!$Y$39="Baja",'Mapa final'!$AA$39="Mayor"),CONCATENATE("R7C",'Mapa final'!$O$39),"")</f>
        <v/>
      </c>
      <c r="AD42" s="50" t="str">
        <f>IF(AND('Mapa final'!$Y$40="Baja",'Mapa final'!$AA$40="Mayor"),CONCATENATE("R7C",'Mapa final'!$O$40),"")</f>
        <v/>
      </c>
      <c r="AE42" s="50" t="str">
        <f>IF(AND('Mapa final'!$Y$41="Baja",'Mapa final'!$AA$41="Mayor"),CONCATENATE("R7C",'Mapa final'!$O$41),"")</f>
        <v/>
      </c>
      <c r="AF42" s="50" t="str">
        <f>IF(AND('Mapa final'!$Y$42="Baja",'Mapa final'!$AA$42="Mayor"),CONCATENATE("R7C",'Mapa final'!$O$42),"")</f>
        <v/>
      </c>
      <c r="AG42" s="51" t="str">
        <f>IF(AND('Mapa final'!$Y$43="Baja",'Mapa final'!$AA$43="Mayor"),CONCATENATE("R7C",'Mapa final'!$O$43),"")</f>
        <v/>
      </c>
      <c r="AH42" s="52" t="str">
        <f>IF(AND('Mapa final'!$Y$38="Baja",'Mapa final'!$AA$38="Catastrófico"),CONCATENATE("R7C",'Mapa final'!$O$38),"")</f>
        <v/>
      </c>
      <c r="AI42" s="53" t="str">
        <f>IF(AND('Mapa final'!$Y$39="Baja",'Mapa final'!$AA$39="Catastrófico"),CONCATENATE("R7C",'Mapa final'!$O$39),"")</f>
        <v/>
      </c>
      <c r="AJ42" s="53" t="str">
        <f>IF(AND('Mapa final'!$Y$40="Baja",'Mapa final'!$AA$40="Catastrófico"),CONCATENATE("R7C",'Mapa final'!$O$40),"")</f>
        <v/>
      </c>
      <c r="AK42" s="53" t="str">
        <f>IF(AND('Mapa final'!$Y$41="Baja",'Mapa final'!$AA$41="Catastrófico"),CONCATENATE("R7C",'Mapa final'!$O$41),"")</f>
        <v/>
      </c>
      <c r="AL42" s="53" t="str">
        <f>IF(AND('Mapa final'!$Y$42="Baja",'Mapa final'!$AA$42="Catastrófico"),CONCATENATE("R7C",'Mapa final'!$O$42),"")</f>
        <v/>
      </c>
      <c r="AM42" s="54" t="str">
        <f>IF(AND('Mapa final'!$Y$43="Baja",'Mapa final'!$AA$43="Catastrófico"),CONCATENATE("R7C",'Mapa final'!$O$43),"")</f>
        <v/>
      </c>
      <c r="AN42" s="80"/>
      <c r="AO42" s="309"/>
      <c r="AP42" s="310"/>
      <c r="AQ42" s="310"/>
      <c r="AR42" s="310"/>
      <c r="AS42" s="310"/>
      <c r="AT42" s="311"/>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301"/>
      <c r="C43" s="301"/>
      <c r="D43" s="302"/>
      <c r="E43" s="286"/>
      <c r="F43" s="285"/>
      <c r="G43" s="285"/>
      <c r="H43" s="285"/>
      <c r="I43" s="285"/>
      <c r="J43" s="73" t="str">
        <f>IF(AND('Mapa final'!$Y$44="Baja",'Mapa final'!$AA$44="Leve"),CONCATENATE("R8C",'Mapa final'!$O$44),"")</f>
        <v/>
      </c>
      <c r="K43" s="74" t="str">
        <f>IF(AND('Mapa final'!$Y$45="Baja",'Mapa final'!$AA$45="Leve"),CONCATENATE("R8C",'Mapa final'!$O$45),"")</f>
        <v/>
      </c>
      <c r="L43" s="74" t="str">
        <f>IF(AND('Mapa final'!$Y$46="Baja",'Mapa final'!$AA$46="Leve"),CONCATENATE("R8C",'Mapa final'!$O$46),"")</f>
        <v/>
      </c>
      <c r="M43" s="74" t="str">
        <f>IF(AND('Mapa final'!$Y$47="Baja",'Mapa final'!$AA$47="Leve"),CONCATENATE("R8C",'Mapa final'!$O$47),"")</f>
        <v/>
      </c>
      <c r="N43" s="74" t="str">
        <f>IF(AND('Mapa final'!$Y$48="Baja",'Mapa final'!$AA$48="Leve"),CONCATENATE("R8C",'Mapa final'!$O$48),"")</f>
        <v/>
      </c>
      <c r="O43" s="75" t="str">
        <f>IF(AND('Mapa final'!$Y$49="Baja",'Mapa final'!$AA$49="Leve"),CONCATENATE("R8C",'Mapa final'!$O$49),"")</f>
        <v/>
      </c>
      <c r="P43" s="64" t="str">
        <f>IF(AND('Mapa final'!$Y$44="Baja",'Mapa final'!$AA$44="Menor"),CONCATENATE("R8C",'Mapa final'!$O$44),"")</f>
        <v/>
      </c>
      <c r="Q43" s="65" t="str">
        <f>IF(AND('Mapa final'!$Y$45="Baja",'Mapa final'!$AA$45="Menor"),CONCATENATE("R8C",'Mapa final'!$O$45),"")</f>
        <v/>
      </c>
      <c r="R43" s="65" t="str">
        <f>IF(AND('Mapa final'!$Y$46="Baja",'Mapa final'!$AA$46="Menor"),CONCATENATE("R8C",'Mapa final'!$O$46),"")</f>
        <v/>
      </c>
      <c r="S43" s="65" t="str">
        <f>IF(AND('Mapa final'!$Y$47="Baja",'Mapa final'!$AA$47="Menor"),CONCATENATE("R8C",'Mapa final'!$O$47),"")</f>
        <v/>
      </c>
      <c r="T43" s="65" t="str">
        <f>IF(AND('Mapa final'!$Y$48="Baja",'Mapa final'!$AA$48="Menor"),CONCATENATE("R8C",'Mapa final'!$O$48),"")</f>
        <v/>
      </c>
      <c r="U43" s="66" t="str">
        <f>IF(AND('Mapa final'!$Y$49="Baja",'Mapa final'!$AA$49="Menor"),CONCATENATE("R8C",'Mapa final'!$O$49),"")</f>
        <v/>
      </c>
      <c r="V43" s="64" t="str">
        <f>IF(AND('Mapa final'!$Y$44="Baja",'Mapa final'!$AA$44="Moderado"),CONCATENATE("R8C",'Mapa final'!$O$44),"")</f>
        <v/>
      </c>
      <c r="W43" s="65" t="str">
        <f>IF(AND('Mapa final'!$Y$45="Baja",'Mapa final'!$AA$45="Moderado"),CONCATENATE("R8C",'Mapa final'!$O$45),"")</f>
        <v/>
      </c>
      <c r="X43" s="65" t="str">
        <f>IF(AND('Mapa final'!$Y$46="Baja",'Mapa final'!$AA$46="Moderado"),CONCATENATE("R8C",'Mapa final'!$O$46),"")</f>
        <v/>
      </c>
      <c r="Y43" s="65" t="str">
        <f>IF(AND('Mapa final'!$Y$47="Baja",'Mapa final'!$AA$47="Moderado"),CONCATENATE("R8C",'Mapa final'!$O$47),"")</f>
        <v/>
      </c>
      <c r="Z43" s="65" t="str">
        <f>IF(AND('Mapa final'!$Y$48="Baja",'Mapa final'!$AA$48="Moderado"),CONCATENATE("R8C",'Mapa final'!$O$48),"")</f>
        <v/>
      </c>
      <c r="AA43" s="66" t="str">
        <f>IF(AND('Mapa final'!$Y$49="Baja",'Mapa final'!$AA$49="Moderado"),CONCATENATE("R8C",'Mapa final'!$O$49),"")</f>
        <v/>
      </c>
      <c r="AB43" s="49" t="str">
        <f>IF(AND('Mapa final'!$Y$44="Baja",'Mapa final'!$AA$44="Mayor"),CONCATENATE("R8C",'Mapa final'!$O$44),"")</f>
        <v>R8C1</v>
      </c>
      <c r="AC43" s="50" t="str">
        <f>IF(AND('Mapa final'!$Y$45="Baja",'Mapa final'!$AA$45="Mayor"),CONCATENATE("R8C",'Mapa final'!$O$45),"")</f>
        <v/>
      </c>
      <c r="AD43" s="50" t="str">
        <f>IF(AND('Mapa final'!$Y$46="Baja",'Mapa final'!$AA$46="Mayor"),CONCATENATE("R8C",'Mapa final'!$O$46),"")</f>
        <v/>
      </c>
      <c r="AE43" s="50" t="str">
        <f>IF(AND('Mapa final'!$Y$47="Baja",'Mapa final'!$AA$47="Mayor"),CONCATENATE("R8C",'Mapa final'!$O$47),"")</f>
        <v/>
      </c>
      <c r="AF43" s="50" t="str">
        <f>IF(AND('Mapa final'!$Y$48="Baja",'Mapa final'!$AA$48="Mayor"),CONCATENATE("R8C",'Mapa final'!$O$48),"")</f>
        <v/>
      </c>
      <c r="AG43" s="51" t="str">
        <f>IF(AND('Mapa final'!$Y$49="Baja",'Mapa final'!$AA$49="Mayor"),CONCATENATE("R8C",'Mapa final'!$O$49),"")</f>
        <v/>
      </c>
      <c r="AH43" s="52" t="str">
        <f>IF(AND('Mapa final'!$Y$44="Baja",'Mapa final'!$AA$44="Catastrófico"),CONCATENATE("R8C",'Mapa final'!$O$44),"")</f>
        <v/>
      </c>
      <c r="AI43" s="53" t="str">
        <f>IF(AND('Mapa final'!$Y$45="Baja",'Mapa final'!$AA$45="Catastrófico"),CONCATENATE("R8C",'Mapa final'!$O$45),"")</f>
        <v/>
      </c>
      <c r="AJ43" s="53" t="str">
        <f>IF(AND('Mapa final'!$Y$46="Baja",'Mapa final'!$AA$46="Catastrófico"),CONCATENATE("R8C",'Mapa final'!$O$46),"")</f>
        <v/>
      </c>
      <c r="AK43" s="53" t="str">
        <f>IF(AND('Mapa final'!$Y$47="Baja",'Mapa final'!$AA$47="Catastrófico"),CONCATENATE("R8C",'Mapa final'!$O$47),"")</f>
        <v/>
      </c>
      <c r="AL43" s="53" t="str">
        <f>IF(AND('Mapa final'!$Y$48="Baja",'Mapa final'!$AA$48="Catastrófico"),CONCATENATE("R8C",'Mapa final'!$O$48),"")</f>
        <v/>
      </c>
      <c r="AM43" s="54" t="str">
        <f>IF(AND('Mapa final'!$Y$49="Baja",'Mapa final'!$AA$49="Catastrófico"),CONCATENATE("R8C",'Mapa final'!$O$49),"")</f>
        <v/>
      </c>
      <c r="AN43" s="80"/>
      <c r="AO43" s="309"/>
      <c r="AP43" s="310"/>
      <c r="AQ43" s="310"/>
      <c r="AR43" s="310"/>
      <c r="AS43" s="310"/>
      <c r="AT43" s="311"/>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301"/>
      <c r="C44" s="301"/>
      <c r="D44" s="302"/>
      <c r="E44" s="286"/>
      <c r="F44" s="285"/>
      <c r="G44" s="285"/>
      <c r="H44" s="285"/>
      <c r="I44" s="285"/>
      <c r="J44" s="73" t="str">
        <f>IF(AND('Mapa final'!$Y$50="Baja",'Mapa final'!$AA$50="Leve"),CONCATENATE("R9C",'Mapa final'!$O$50),"")</f>
        <v/>
      </c>
      <c r="K44" s="74" t="str">
        <f>IF(AND('Mapa final'!$Y$51="Baja",'Mapa final'!$AA$51="Leve"),CONCATENATE("R9C",'Mapa final'!$O$51),"")</f>
        <v/>
      </c>
      <c r="L44" s="74" t="str">
        <f>IF(AND('Mapa final'!$Y$52="Baja",'Mapa final'!$AA$52="Leve"),CONCATENATE("R9C",'Mapa final'!$O$52),"")</f>
        <v/>
      </c>
      <c r="M44" s="74" t="str">
        <f>IF(AND('Mapa final'!$Y$53="Baja",'Mapa final'!$AA$53="Leve"),CONCATENATE("R9C",'Mapa final'!$O$53),"")</f>
        <v/>
      </c>
      <c r="N44" s="74" t="str">
        <f>IF(AND('Mapa final'!$Y$54="Baja",'Mapa final'!$AA$54="Leve"),CONCATENATE("R9C",'Mapa final'!$O$54),"")</f>
        <v/>
      </c>
      <c r="O44" s="75" t="str">
        <f>IF(AND('Mapa final'!$Y$55="Baja",'Mapa final'!$AA$55="Leve"),CONCATENATE("R9C",'Mapa final'!$O$55),"")</f>
        <v/>
      </c>
      <c r="P44" s="64" t="str">
        <f>IF(AND('Mapa final'!$Y$50="Baja",'Mapa final'!$AA$50="Menor"),CONCATENATE("R9C",'Mapa final'!$O$50),"")</f>
        <v/>
      </c>
      <c r="Q44" s="65" t="str">
        <f>IF(AND('Mapa final'!$Y$51="Baja",'Mapa final'!$AA$51="Menor"),CONCATENATE("R9C",'Mapa final'!$O$51),"")</f>
        <v/>
      </c>
      <c r="R44" s="65" t="str">
        <f>IF(AND('Mapa final'!$Y$52="Baja",'Mapa final'!$AA$52="Menor"),CONCATENATE("R9C",'Mapa final'!$O$52),"")</f>
        <v/>
      </c>
      <c r="S44" s="65" t="str">
        <f>IF(AND('Mapa final'!$Y$53="Baja",'Mapa final'!$AA$53="Menor"),CONCATENATE("R9C",'Mapa final'!$O$53),"")</f>
        <v/>
      </c>
      <c r="T44" s="65" t="str">
        <f>IF(AND('Mapa final'!$Y$54="Baja",'Mapa final'!$AA$54="Menor"),CONCATENATE("R9C",'Mapa final'!$O$54),"")</f>
        <v/>
      </c>
      <c r="U44" s="66" t="str">
        <f>IF(AND('Mapa final'!$Y$55="Baja",'Mapa final'!$AA$55="Menor"),CONCATENATE("R9C",'Mapa final'!$O$55),"")</f>
        <v/>
      </c>
      <c r="V44" s="64" t="str">
        <f>IF(AND('Mapa final'!$Y$50="Baja",'Mapa final'!$AA$50="Moderado"),CONCATENATE("R9C",'Mapa final'!$O$50),"")</f>
        <v/>
      </c>
      <c r="W44" s="65" t="str">
        <f>IF(AND('Mapa final'!$Y$51="Baja",'Mapa final'!$AA$51="Moderado"),CONCATENATE("R9C",'Mapa final'!$O$51),"")</f>
        <v/>
      </c>
      <c r="X44" s="65" t="str">
        <f>IF(AND('Mapa final'!$Y$52="Baja",'Mapa final'!$AA$52="Moderado"),CONCATENATE("R9C",'Mapa final'!$O$52),"")</f>
        <v/>
      </c>
      <c r="Y44" s="65" t="str">
        <f>IF(AND('Mapa final'!$Y$53="Baja",'Mapa final'!$AA$53="Moderado"),CONCATENATE("R9C",'Mapa final'!$O$53),"")</f>
        <v/>
      </c>
      <c r="Z44" s="65" t="str">
        <f>IF(AND('Mapa final'!$Y$54="Baja",'Mapa final'!$AA$54="Moderado"),CONCATENATE("R9C",'Mapa final'!$O$54),"")</f>
        <v/>
      </c>
      <c r="AA44" s="66" t="str">
        <f>IF(AND('Mapa final'!$Y$55="Baja",'Mapa final'!$AA$55="Moderado"),CONCATENATE("R9C",'Mapa final'!$O$55),"")</f>
        <v/>
      </c>
      <c r="AB44" s="49" t="str">
        <f>IF(AND('Mapa final'!$Y$50="Baja",'Mapa final'!$AA$50="Mayor"),CONCATENATE("R9C",'Mapa final'!$O$50),"")</f>
        <v/>
      </c>
      <c r="AC44" s="50" t="str">
        <f>IF(AND('Mapa final'!$Y$51="Baja",'Mapa final'!$AA$51="Mayor"),CONCATENATE("R9C",'Mapa final'!$O$51),"")</f>
        <v/>
      </c>
      <c r="AD44" s="50" t="str">
        <f>IF(AND('Mapa final'!$Y$52="Baja",'Mapa final'!$AA$52="Mayor"),CONCATENATE("R9C",'Mapa final'!$O$52),"")</f>
        <v/>
      </c>
      <c r="AE44" s="50" t="str">
        <f>IF(AND('Mapa final'!$Y$53="Baja",'Mapa final'!$AA$53="Mayor"),CONCATENATE("R9C",'Mapa final'!$O$53),"")</f>
        <v/>
      </c>
      <c r="AF44" s="50" t="str">
        <f>IF(AND('Mapa final'!$Y$54="Baja",'Mapa final'!$AA$54="Mayor"),CONCATENATE("R9C",'Mapa final'!$O$54),"")</f>
        <v/>
      </c>
      <c r="AG44" s="51" t="str">
        <f>IF(AND('Mapa final'!$Y$55="Baja",'Mapa final'!$AA$55="Mayor"),CONCATENATE("R9C",'Mapa final'!$O$55),"")</f>
        <v/>
      </c>
      <c r="AH44" s="52" t="str">
        <f>IF(AND('Mapa final'!$Y$50="Baja",'Mapa final'!$AA$50="Catastrófico"),CONCATENATE("R9C",'Mapa final'!$O$50),"")</f>
        <v/>
      </c>
      <c r="AI44" s="53" t="str">
        <f>IF(AND('Mapa final'!$Y$51="Baja",'Mapa final'!$AA$51="Catastrófico"),CONCATENATE("R9C",'Mapa final'!$O$51),"")</f>
        <v/>
      </c>
      <c r="AJ44" s="53" t="str">
        <f>IF(AND('Mapa final'!$Y$52="Baja",'Mapa final'!$AA$52="Catastrófico"),CONCATENATE("R9C",'Mapa final'!$O$52),"")</f>
        <v/>
      </c>
      <c r="AK44" s="53" t="str">
        <f>IF(AND('Mapa final'!$Y$53="Baja",'Mapa final'!$AA$53="Catastrófico"),CONCATENATE("R9C",'Mapa final'!$O$53),"")</f>
        <v/>
      </c>
      <c r="AL44" s="53" t="str">
        <f>IF(AND('Mapa final'!$Y$54="Baja",'Mapa final'!$AA$54="Catastrófico"),CONCATENATE("R9C",'Mapa final'!$O$54),"")</f>
        <v/>
      </c>
      <c r="AM44" s="54" t="str">
        <f>IF(AND('Mapa final'!$Y$55="Baja",'Mapa final'!$AA$55="Catastrófico"),CONCATENATE("R9C",'Mapa final'!$O$55),"")</f>
        <v/>
      </c>
      <c r="AN44" s="80"/>
      <c r="AO44" s="309"/>
      <c r="AP44" s="310"/>
      <c r="AQ44" s="310"/>
      <c r="AR44" s="310"/>
      <c r="AS44" s="310"/>
      <c r="AT44" s="311"/>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301"/>
      <c r="C45" s="301"/>
      <c r="D45" s="302"/>
      <c r="E45" s="287"/>
      <c r="F45" s="288"/>
      <c r="G45" s="288"/>
      <c r="H45" s="288"/>
      <c r="I45" s="288"/>
      <c r="J45" s="76" t="str">
        <f>IF(AND('Mapa final'!$Y$56="Baja",'Mapa final'!$AA$56="Leve"),CONCATENATE("R10C",'Mapa final'!$O$56),"")</f>
        <v/>
      </c>
      <c r="K45" s="77" t="str">
        <f>IF(AND('Mapa final'!$Y$57="Baja",'Mapa final'!$AA$57="Leve"),CONCATENATE("R10C",'Mapa final'!$O$57),"")</f>
        <v/>
      </c>
      <c r="L45" s="77" t="str">
        <f>IF(AND('Mapa final'!$Y$58="Baja",'Mapa final'!$AA$58="Leve"),CONCATENATE("R10C",'Mapa final'!$O$58),"")</f>
        <v/>
      </c>
      <c r="M45" s="77" t="str">
        <f>IF(AND('Mapa final'!$Y$59="Baja",'Mapa final'!$AA$59="Leve"),CONCATENATE("R10C",'Mapa final'!$O$59),"")</f>
        <v/>
      </c>
      <c r="N45" s="77" t="str">
        <f>IF(AND('Mapa final'!$Y$60="Baja",'Mapa final'!$AA$60="Leve"),CONCATENATE("R10C",'Mapa final'!$O$60),"")</f>
        <v/>
      </c>
      <c r="O45" s="78" t="str">
        <f>IF(AND('Mapa final'!$Y$61="Baja",'Mapa final'!$AA$61="Leve"),CONCATENATE("R10C",'Mapa final'!$O$61),"")</f>
        <v/>
      </c>
      <c r="P45" s="64" t="str">
        <f>IF(AND('Mapa final'!$Y$56="Baja",'Mapa final'!$AA$56="Menor"),CONCATENATE("R10C",'Mapa final'!$O$56),"")</f>
        <v/>
      </c>
      <c r="Q45" s="65" t="str">
        <f>IF(AND('Mapa final'!$Y$57="Baja",'Mapa final'!$AA$57="Menor"),CONCATENATE("R10C",'Mapa final'!$O$57),"")</f>
        <v/>
      </c>
      <c r="R45" s="65" t="str">
        <f>IF(AND('Mapa final'!$Y$58="Baja",'Mapa final'!$AA$58="Menor"),CONCATENATE("R10C",'Mapa final'!$O$58),"")</f>
        <v/>
      </c>
      <c r="S45" s="65" t="str">
        <f>IF(AND('Mapa final'!$Y$59="Baja",'Mapa final'!$AA$59="Menor"),CONCATENATE("R10C",'Mapa final'!$O$59),"")</f>
        <v/>
      </c>
      <c r="T45" s="65" t="str">
        <f>IF(AND('Mapa final'!$Y$60="Baja",'Mapa final'!$AA$60="Menor"),CONCATENATE("R10C",'Mapa final'!$O$60),"")</f>
        <v/>
      </c>
      <c r="U45" s="66" t="str">
        <f>IF(AND('Mapa final'!$Y$61="Baja",'Mapa final'!$AA$61="Menor"),CONCATENATE("R10C",'Mapa final'!$O$61),"")</f>
        <v/>
      </c>
      <c r="V45" s="67" t="str">
        <f>IF(AND('Mapa final'!$Y$56="Baja",'Mapa final'!$AA$56="Moderado"),CONCATENATE("R10C",'Mapa final'!$O$56),"")</f>
        <v/>
      </c>
      <c r="W45" s="68" t="str">
        <f>IF(AND('Mapa final'!$Y$57="Baja",'Mapa final'!$AA$57="Moderado"),CONCATENATE("R10C",'Mapa final'!$O$57),"")</f>
        <v/>
      </c>
      <c r="X45" s="68" t="str">
        <f>IF(AND('Mapa final'!$Y$58="Baja",'Mapa final'!$AA$58="Moderado"),CONCATENATE("R10C",'Mapa final'!$O$58),"")</f>
        <v/>
      </c>
      <c r="Y45" s="68" t="str">
        <f>IF(AND('Mapa final'!$Y$59="Baja",'Mapa final'!$AA$59="Moderado"),CONCATENATE("R10C",'Mapa final'!$O$59),"")</f>
        <v/>
      </c>
      <c r="Z45" s="68" t="str">
        <f>IF(AND('Mapa final'!$Y$60="Baja",'Mapa final'!$AA$60="Moderado"),CONCATENATE("R10C",'Mapa final'!$O$60),"")</f>
        <v/>
      </c>
      <c r="AA45" s="69" t="str">
        <f>IF(AND('Mapa final'!$Y$61="Baja",'Mapa final'!$AA$61="Moderado"),CONCATENATE("R10C",'Mapa final'!$O$61),"")</f>
        <v/>
      </c>
      <c r="AB45" s="55" t="str">
        <f>IF(AND('Mapa final'!$Y$56="Baja",'Mapa final'!$AA$56="Mayor"),CONCATENATE("R10C",'Mapa final'!$O$56),"")</f>
        <v/>
      </c>
      <c r="AC45" s="56" t="str">
        <f>IF(AND('Mapa final'!$Y$57="Baja",'Mapa final'!$AA$57="Mayor"),CONCATENATE("R10C",'Mapa final'!$O$57),"")</f>
        <v/>
      </c>
      <c r="AD45" s="56" t="str">
        <f>IF(AND('Mapa final'!$Y$58="Baja",'Mapa final'!$AA$58="Mayor"),CONCATENATE("R10C",'Mapa final'!$O$58),"")</f>
        <v/>
      </c>
      <c r="AE45" s="56" t="str">
        <f>IF(AND('Mapa final'!$Y$59="Baja",'Mapa final'!$AA$59="Mayor"),CONCATENATE("R10C",'Mapa final'!$O$59),"")</f>
        <v/>
      </c>
      <c r="AF45" s="56" t="str">
        <f>IF(AND('Mapa final'!$Y$60="Baja",'Mapa final'!$AA$60="Mayor"),CONCATENATE("R10C",'Mapa final'!$O$60),"")</f>
        <v/>
      </c>
      <c r="AG45" s="57" t="str">
        <f>IF(AND('Mapa final'!$Y$61="Baja",'Mapa final'!$AA$61="Mayor"),CONCATENATE("R10C",'Mapa final'!$O$61),"")</f>
        <v/>
      </c>
      <c r="AH45" s="58" t="str">
        <f>IF(AND('Mapa final'!$Y$56="Baja",'Mapa final'!$AA$56="Catastrófico"),CONCATENATE("R10C",'Mapa final'!$O$56),"")</f>
        <v/>
      </c>
      <c r="AI45" s="59" t="str">
        <f>IF(AND('Mapa final'!$Y$57="Baja",'Mapa final'!$AA$57="Catastrófico"),CONCATENATE("R10C",'Mapa final'!$O$57),"")</f>
        <v/>
      </c>
      <c r="AJ45" s="59" t="str">
        <f>IF(AND('Mapa final'!$Y$58="Baja",'Mapa final'!$AA$58="Catastrófico"),CONCATENATE("R10C",'Mapa final'!$O$58),"")</f>
        <v/>
      </c>
      <c r="AK45" s="59" t="str">
        <f>IF(AND('Mapa final'!$Y$59="Baja",'Mapa final'!$AA$59="Catastrófico"),CONCATENATE("R10C",'Mapa final'!$O$59),"")</f>
        <v/>
      </c>
      <c r="AL45" s="59" t="str">
        <f>IF(AND('Mapa final'!$Y$60="Baja",'Mapa final'!$AA$60="Catastrófico"),CONCATENATE("R10C",'Mapa final'!$O$60),"")</f>
        <v/>
      </c>
      <c r="AM45" s="60" t="str">
        <f>IF(AND('Mapa final'!$Y$61="Baja",'Mapa final'!$AA$61="Catastrófico"),CONCATENATE("R10C",'Mapa final'!$O$61),"")</f>
        <v/>
      </c>
      <c r="AN45" s="80"/>
      <c r="AO45" s="312"/>
      <c r="AP45" s="313"/>
      <c r="AQ45" s="313"/>
      <c r="AR45" s="313"/>
      <c r="AS45" s="313"/>
      <c r="AT45" s="314"/>
    </row>
    <row r="46" spans="1:80" ht="46.5" customHeight="1" x14ac:dyDescent="0.35">
      <c r="A46" s="80"/>
      <c r="B46" s="301"/>
      <c r="C46" s="301"/>
      <c r="D46" s="302"/>
      <c r="E46" s="282" t="s">
        <v>113</v>
      </c>
      <c r="F46" s="283"/>
      <c r="G46" s="283"/>
      <c r="H46" s="283"/>
      <c r="I46" s="303"/>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301"/>
      <c r="C47" s="301"/>
      <c r="D47" s="302"/>
      <c r="E47" s="284"/>
      <c r="F47" s="285"/>
      <c r="G47" s="285"/>
      <c r="H47" s="285"/>
      <c r="I47" s="304"/>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R2C2</v>
      </c>
      <c r="R47" s="74" t="str">
        <f>IF(AND('Mapa final'!$Y$18="Muy Baja",'Mapa final'!$AA$18="Menor"),CONCATENATE("R2C",'Mapa final'!$O$18),"")</f>
        <v>R2C3</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301"/>
      <c r="C48" s="301"/>
      <c r="D48" s="302"/>
      <c r="E48" s="284"/>
      <c r="F48" s="285"/>
      <c r="G48" s="285"/>
      <c r="H48" s="285"/>
      <c r="I48" s="304"/>
      <c r="J48" s="73" t="str">
        <f>IF(AND('Mapa final'!$Y$22="Muy Baja",'Mapa final'!$AA$22="Leve"),CONCATENATE("R3C",'Mapa final'!$O$22),"")</f>
        <v/>
      </c>
      <c r="K48" s="74" t="e">
        <f>IF(AND('Mapa final'!#REF!="Muy Baja",'Mapa final'!#REF!="Leve"),CONCATENATE("R3C",'Mapa final'!#REF!),"")</f>
        <v>#REF!</v>
      </c>
      <c r="L48" s="74" t="str">
        <f>IF(AND('Mapa final'!$Y$23="Muy Baja",'Mapa final'!$AA$23="Leve"),CONCATENATE("R3C",'Mapa final'!$O$23),"")</f>
        <v/>
      </c>
      <c r="M48" s="74" t="str">
        <f>IF(AND('Mapa final'!$Y$24="Muy Baja",'Mapa final'!$AA$24="Leve"),CONCATENATE("R3C",'Mapa final'!$O$24),"")</f>
        <v/>
      </c>
      <c r="N48" s="74" t="str">
        <f>IF(AND('Mapa final'!$Y$25="Muy Baja",'Mapa final'!$AA$25="Leve"),CONCATENATE("R3C",'Mapa final'!$O$25),"")</f>
        <v/>
      </c>
      <c r="O48" s="75" t="str">
        <f>IF(AND('Mapa final'!$Y$26="Muy Baja",'Mapa final'!$AA$26="Leve"),CONCATENATE("R3C",'Mapa final'!$O$26),"")</f>
        <v/>
      </c>
      <c r="P48" s="73" t="str">
        <f>IF(AND('Mapa final'!$Y$22="Muy Baja",'Mapa final'!$AA$22="Menor"),CONCATENATE("R3C",'Mapa final'!$O$22),"")</f>
        <v/>
      </c>
      <c r="Q48" s="74" t="e">
        <f>IF(AND('Mapa final'!#REF!="Muy Baja",'Mapa final'!#REF!="Menor"),CONCATENATE("R3C",'Mapa final'!#REF!),"")</f>
        <v>#REF!</v>
      </c>
      <c r="R48" s="74" t="str">
        <f>IF(AND('Mapa final'!$Y$23="Muy Baja",'Mapa final'!$AA$23="Menor"),CONCATENATE("R3C",'Mapa final'!$O$23),"")</f>
        <v/>
      </c>
      <c r="S48" s="74" t="str">
        <f>IF(AND('Mapa final'!$Y$24="Muy Baja",'Mapa final'!$AA$24="Menor"),CONCATENATE("R3C",'Mapa final'!$O$24),"")</f>
        <v/>
      </c>
      <c r="T48" s="74" t="str">
        <f>IF(AND('Mapa final'!$Y$25="Muy Baja",'Mapa final'!$AA$25="Menor"),CONCATENATE("R3C",'Mapa final'!$O$25),"")</f>
        <v/>
      </c>
      <c r="U48" s="75" t="str">
        <f>IF(AND('Mapa final'!$Y$26="Muy Baja",'Mapa final'!$AA$26="Menor"),CONCATENATE("R3C",'Mapa final'!$O$26),"")</f>
        <v/>
      </c>
      <c r="V48" s="64" t="str">
        <f>IF(AND('Mapa final'!$Y$22="Muy Baja",'Mapa final'!$AA$22="Moderado"),CONCATENATE("R3C",'Mapa final'!$O$22),"")</f>
        <v/>
      </c>
      <c r="W48" s="65" t="e">
        <f>IF(AND('Mapa final'!#REF!="Muy Baja",'Mapa final'!#REF!="Moderado"),CONCATENATE("R3C",'Mapa final'!#REF!),"")</f>
        <v>#REF!</v>
      </c>
      <c r="X48" s="65" t="str">
        <f>IF(AND('Mapa final'!$Y$23="Muy Baja",'Mapa final'!$AA$23="Moderado"),CONCATENATE("R3C",'Mapa final'!$O$23),"")</f>
        <v/>
      </c>
      <c r="Y48" s="65" t="str">
        <f>IF(AND('Mapa final'!$Y$24="Muy Baja",'Mapa final'!$AA$24="Moderado"),CONCATENATE("R3C",'Mapa final'!$O$24),"")</f>
        <v/>
      </c>
      <c r="Z48" s="65" t="str">
        <f>IF(AND('Mapa final'!$Y$25="Muy Baja",'Mapa final'!$AA$25="Moderado"),CONCATENATE("R3C",'Mapa final'!$O$25),"")</f>
        <v/>
      </c>
      <c r="AA48" s="66" t="str">
        <f>IF(AND('Mapa final'!$Y$26="Muy Baja",'Mapa final'!$AA$26="Moderado"),CONCATENATE("R3C",'Mapa final'!$O$26),"")</f>
        <v/>
      </c>
      <c r="AB48" s="49" t="str">
        <f>IF(AND('Mapa final'!$Y$22="Muy Baja",'Mapa final'!$AA$22="Mayor"),CONCATENATE("R3C",'Mapa final'!$O$22),"")</f>
        <v/>
      </c>
      <c r="AC48" s="50" t="e">
        <f>IF(AND('Mapa final'!#REF!="Muy Baja",'Mapa final'!#REF!="Mayor"),CONCATENATE("R3C",'Mapa final'!#REF!),"")</f>
        <v>#REF!</v>
      </c>
      <c r="AD48" s="50" t="str">
        <f>IF(AND('Mapa final'!$Y$23="Muy Baja",'Mapa final'!$AA$23="Mayor"),CONCATENATE("R3C",'Mapa final'!$O$23),"")</f>
        <v/>
      </c>
      <c r="AE48" s="50" t="str">
        <f>IF(AND('Mapa final'!$Y$24="Muy Baja",'Mapa final'!$AA$24="Mayor"),CONCATENATE("R3C",'Mapa final'!$O$24),"")</f>
        <v/>
      </c>
      <c r="AF48" s="50" t="str">
        <f>IF(AND('Mapa final'!$Y$25="Muy Baja",'Mapa final'!$AA$25="Mayor"),CONCATENATE("R3C",'Mapa final'!$O$25),"")</f>
        <v/>
      </c>
      <c r="AG48" s="51" t="str">
        <f>IF(AND('Mapa final'!$Y$26="Muy Baja",'Mapa final'!$AA$26="Mayor"),CONCATENATE("R3C",'Mapa final'!$O$26),"")</f>
        <v/>
      </c>
      <c r="AH48" s="52" t="str">
        <f>IF(AND('Mapa final'!$Y$22="Muy Baja",'Mapa final'!$AA$22="Catastrófico"),CONCATENATE("R3C",'Mapa final'!$O$22),"")</f>
        <v/>
      </c>
      <c r="AI48" s="53" t="e">
        <f>IF(AND('Mapa final'!#REF!="Muy Baja",'Mapa final'!#REF!="Catastrófico"),CONCATENATE("R3C",'Mapa final'!#REF!),"")</f>
        <v>#REF!</v>
      </c>
      <c r="AJ48" s="53" t="str">
        <f>IF(AND('Mapa final'!$Y$23="Muy Baja",'Mapa final'!$AA$23="Catastrófico"),CONCATENATE("R3C",'Mapa final'!$O$23),"")</f>
        <v/>
      </c>
      <c r="AK48" s="53" t="str">
        <f>IF(AND('Mapa final'!$Y$24="Muy Baja",'Mapa final'!$AA$24="Catastrófico"),CONCATENATE("R3C",'Mapa final'!$O$24),"")</f>
        <v/>
      </c>
      <c r="AL48" s="53" t="str">
        <f>IF(AND('Mapa final'!$Y$25="Muy Baja",'Mapa final'!$AA$25="Catastrófico"),CONCATENATE("R3C",'Mapa final'!$O$25),"")</f>
        <v/>
      </c>
      <c r="AM48" s="54" t="str">
        <f>IF(AND('Mapa final'!$Y$26="Muy Baja",'Mapa final'!$AA$26="Catastrófico"),CONCATENATE("R3C",'Mapa final'!$O$26),"")</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301"/>
      <c r="C49" s="301"/>
      <c r="D49" s="302"/>
      <c r="E49" s="286"/>
      <c r="F49" s="285"/>
      <c r="G49" s="285"/>
      <c r="H49" s="285"/>
      <c r="I49" s="304"/>
      <c r="J49" s="73" t="str">
        <f>IF(AND('Mapa final'!$Y$27="Muy Baja",'Mapa final'!$AA$27="Leve"),CONCATENATE("R4C",'Mapa final'!$O$27),"")</f>
        <v/>
      </c>
      <c r="K49" s="74" t="e">
        <f>IF(AND('Mapa final'!#REF!="Muy Baja",'Mapa final'!#REF!="Leve"),CONCATENATE("R4C",'Mapa final'!#REF!),"")</f>
        <v>#REF!</v>
      </c>
      <c r="L49" s="74" t="str">
        <f>IF(AND('Mapa final'!$Y$28="Muy Baja",'Mapa final'!$AA$28="Leve"),CONCATENATE("R4C",'Mapa final'!$O$28),"")</f>
        <v/>
      </c>
      <c r="M49" s="74" t="str">
        <f>IF(AND('Mapa final'!$Y$29="Muy Baja",'Mapa final'!$AA$29="Leve"),CONCATENATE("R4C",'Mapa final'!$O$29),"")</f>
        <v/>
      </c>
      <c r="N49" s="74" t="str">
        <f>IF(AND('Mapa final'!$Y$30="Muy Baja",'Mapa final'!$AA$30="Leve"),CONCATENATE("R4C",'Mapa final'!$O$30),"")</f>
        <v/>
      </c>
      <c r="O49" s="75" t="str">
        <f>IF(AND('Mapa final'!$Y$31="Muy Baja",'Mapa final'!$AA$31="Leve"),CONCATENATE("R4C",'Mapa final'!$O$31),"")</f>
        <v/>
      </c>
      <c r="P49" s="73" t="str">
        <f>IF(AND('Mapa final'!$Y$27="Muy Baja",'Mapa final'!$AA$27="Menor"),CONCATENATE("R4C",'Mapa final'!$O$27),"")</f>
        <v/>
      </c>
      <c r="Q49" s="74" t="e">
        <f>IF(AND('Mapa final'!#REF!="Muy Baja",'Mapa final'!#REF!="Menor"),CONCATENATE("R4C",'Mapa final'!#REF!),"")</f>
        <v>#REF!</v>
      </c>
      <c r="R49" s="74" t="str">
        <f>IF(AND('Mapa final'!$Y$28="Muy Baja",'Mapa final'!$AA$28="Menor"),CONCATENATE("R4C",'Mapa final'!$O$28),"")</f>
        <v/>
      </c>
      <c r="S49" s="74" t="str">
        <f>IF(AND('Mapa final'!$Y$29="Muy Baja",'Mapa final'!$AA$29="Menor"),CONCATENATE("R4C",'Mapa final'!$O$29),"")</f>
        <v/>
      </c>
      <c r="T49" s="74" t="str">
        <f>IF(AND('Mapa final'!$Y$30="Muy Baja",'Mapa final'!$AA$30="Menor"),CONCATENATE("R4C",'Mapa final'!$O$30),"")</f>
        <v/>
      </c>
      <c r="U49" s="75" t="str">
        <f>IF(AND('Mapa final'!$Y$31="Muy Baja",'Mapa final'!$AA$31="Menor"),CONCATENATE("R4C",'Mapa final'!$O$31),"")</f>
        <v/>
      </c>
      <c r="V49" s="64" t="str">
        <f>IF(AND('Mapa final'!$Y$27="Muy Baja",'Mapa final'!$AA$27="Moderado"),CONCATENATE("R4C",'Mapa final'!$O$27),"")</f>
        <v/>
      </c>
      <c r="W49" s="65" t="e">
        <f>IF(AND('Mapa final'!#REF!="Muy Baja",'Mapa final'!#REF!="Moderado"),CONCATENATE("R4C",'Mapa final'!#REF!),"")</f>
        <v>#REF!</v>
      </c>
      <c r="X49" s="65" t="str">
        <f>IF(AND('Mapa final'!$Y$28="Muy Baja",'Mapa final'!$AA$28="Moderado"),CONCATENATE("R4C",'Mapa final'!$O$28),"")</f>
        <v/>
      </c>
      <c r="Y49" s="65" t="str">
        <f>IF(AND('Mapa final'!$Y$29="Muy Baja",'Mapa final'!$AA$29="Moderado"),CONCATENATE("R4C",'Mapa final'!$O$29),"")</f>
        <v/>
      </c>
      <c r="Z49" s="65" t="str">
        <f>IF(AND('Mapa final'!$Y$30="Muy Baja",'Mapa final'!$AA$30="Moderado"),CONCATENATE("R4C",'Mapa final'!$O$30),"")</f>
        <v/>
      </c>
      <c r="AA49" s="66" t="str">
        <f>IF(AND('Mapa final'!$Y$31="Muy Baja",'Mapa final'!$AA$31="Moderado"),CONCATENATE("R4C",'Mapa final'!$O$31),"")</f>
        <v/>
      </c>
      <c r="AB49" s="49" t="str">
        <f>IF(AND('Mapa final'!$Y$27="Muy Baja",'Mapa final'!$AA$27="Mayor"),CONCATENATE("R4C",'Mapa final'!$O$27),"")</f>
        <v/>
      </c>
      <c r="AC49" s="50" t="e">
        <f>IF(AND('Mapa final'!#REF!="Muy Baja",'Mapa final'!#REF!="Mayor"),CONCATENATE("R4C",'Mapa final'!#REF!),"")</f>
        <v>#REF!</v>
      </c>
      <c r="AD49" s="50" t="str">
        <f>IF(AND('Mapa final'!$Y$28="Muy Baja",'Mapa final'!$AA$28="Mayor"),CONCATENATE("R4C",'Mapa final'!$O$28),"")</f>
        <v/>
      </c>
      <c r="AE49" s="50" t="str">
        <f>IF(AND('Mapa final'!$Y$29="Muy Baja",'Mapa final'!$AA$29="Mayor"),CONCATENATE("R4C",'Mapa final'!$O$29),"")</f>
        <v/>
      </c>
      <c r="AF49" s="50" t="str">
        <f>IF(AND('Mapa final'!$Y$30="Muy Baja",'Mapa final'!$AA$30="Mayor"),CONCATENATE("R4C",'Mapa final'!$O$30),"")</f>
        <v/>
      </c>
      <c r="AG49" s="51" t="str">
        <f>IF(AND('Mapa final'!$Y$31="Muy Baja",'Mapa final'!$AA$31="Mayor"),CONCATENATE("R4C",'Mapa final'!$O$31),"")</f>
        <v/>
      </c>
      <c r="AH49" s="52" t="str">
        <f>IF(AND('Mapa final'!$Y$27="Muy Baja",'Mapa final'!$AA$27="Catastrófico"),CONCATENATE("R4C",'Mapa final'!$O$27),"")</f>
        <v/>
      </c>
      <c r="AI49" s="53" t="e">
        <f>IF(AND('Mapa final'!#REF!="Muy Baja",'Mapa final'!#REF!="Catastrófico"),CONCATENATE("R4C",'Mapa final'!#REF!),"")</f>
        <v>#REF!</v>
      </c>
      <c r="AJ49" s="53" t="str">
        <f>IF(AND('Mapa final'!$Y$28="Muy Baja",'Mapa final'!$AA$28="Catastrófico"),CONCATENATE("R4C",'Mapa final'!$O$28),"")</f>
        <v/>
      </c>
      <c r="AK49" s="53" t="str">
        <f>IF(AND('Mapa final'!$Y$29="Muy Baja",'Mapa final'!$AA$29="Catastrófico"),CONCATENATE("R4C",'Mapa final'!$O$29),"")</f>
        <v/>
      </c>
      <c r="AL49" s="53" t="str">
        <f>IF(AND('Mapa final'!$Y$30="Muy Baja",'Mapa final'!$AA$30="Catastrófico"),CONCATENATE("R4C",'Mapa final'!$O$30),"")</f>
        <v/>
      </c>
      <c r="AM49" s="54" t="str">
        <f>IF(AND('Mapa final'!$Y$31="Muy Baja",'Mapa final'!$AA$31="Catastrófico"),CONCATENATE("R4C",'Mapa final'!$O$31),"")</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301"/>
      <c r="C50" s="301"/>
      <c r="D50" s="302"/>
      <c r="E50" s="286"/>
      <c r="F50" s="285"/>
      <c r="G50" s="285"/>
      <c r="H50" s="285"/>
      <c r="I50" s="304"/>
      <c r="J50" s="73" t="str">
        <f>IF(AND('Mapa final'!$Y$32="Muy Baja",'Mapa final'!$AA$32="Leve"),CONCATENATE("R5C",'Mapa final'!$O$32),"")</f>
        <v/>
      </c>
      <c r="K50" s="74" t="str">
        <f>IF(AND('Mapa final'!$Y$33="Muy Baja",'Mapa final'!$AA$33="Leve"),CONCATENATE("R5C",'Mapa final'!$O$33),"")</f>
        <v/>
      </c>
      <c r="L50" s="74" t="str">
        <f>IF(AND('Mapa final'!$Y$34="Muy Baja",'Mapa final'!$AA$34="Leve"),CONCATENATE("R5C",'Mapa final'!$O$34),"")</f>
        <v/>
      </c>
      <c r="M50" s="74" t="str">
        <f>IF(AND('Mapa final'!$Y$35="Muy Baja",'Mapa final'!$AA$35="Leve"),CONCATENATE("R5C",'Mapa final'!$O$35),"")</f>
        <v/>
      </c>
      <c r="N50" s="74" t="str">
        <f>IF(AND('Mapa final'!$Y$36="Muy Baja",'Mapa final'!$AA$36="Leve"),CONCATENATE("R5C",'Mapa final'!$O$36),"")</f>
        <v/>
      </c>
      <c r="O50" s="75" t="str">
        <f>IF(AND('Mapa final'!$Y$37="Muy Baja",'Mapa final'!$AA$37="Leve"),CONCATENATE("R5C",'Mapa final'!$O$37),"")</f>
        <v/>
      </c>
      <c r="P50" s="73" t="str">
        <f>IF(AND('Mapa final'!$Y$32="Muy Baja",'Mapa final'!$AA$32="Menor"),CONCATENATE("R5C",'Mapa final'!$O$32),"")</f>
        <v/>
      </c>
      <c r="Q50" s="74" t="str">
        <f>IF(AND('Mapa final'!$Y$33="Muy Baja",'Mapa final'!$AA$33="Menor"),CONCATENATE("R5C",'Mapa final'!$O$33),"")</f>
        <v/>
      </c>
      <c r="R50" s="74" t="str">
        <f>IF(AND('Mapa final'!$Y$34="Muy Baja",'Mapa final'!$AA$34="Menor"),CONCATENATE("R5C",'Mapa final'!$O$34),"")</f>
        <v/>
      </c>
      <c r="S50" s="74" t="str">
        <f>IF(AND('Mapa final'!$Y$35="Muy Baja",'Mapa final'!$AA$35="Menor"),CONCATENATE("R5C",'Mapa final'!$O$35),"")</f>
        <v/>
      </c>
      <c r="T50" s="74" t="str">
        <f>IF(AND('Mapa final'!$Y$36="Muy Baja",'Mapa final'!$AA$36="Menor"),CONCATENATE("R5C",'Mapa final'!$O$36),"")</f>
        <v/>
      </c>
      <c r="U50" s="75" t="str">
        <f>IF(AND('Mapa final'!$Y$37="Muy Baja",'Mapa final'!$AA$37="Menor"),CONCATENATE("R5C",'Mapa final'!$O$37),"")</f>
        <v/>
      </c>
      <c r="V50" s="64" t="str">
        <f>IF(AND('Mapa final'!$Y$32="Muy Baja",'Mapa final'!$AA$32="Moderado"),CONCATENATE("R5C",'Mapa final'!$O$32),"")</f>
        <v/>
      </c>
      <c r="W50" s="65" t="str">
        <f>IF(AND('Mapa final'!$Y$33="Muy Baja",'Mapa final'!$AA$33="Moderado"),CONCATENATE("R5C",'Mapa final'!$O$33),"")</f>
        <v/>
      </c>
      <c r="X50" s="65" t="str">
        <f>IF(AND('Mapa final'!$Y$34="Muy Baja",'Mapa final'!$AA$34="Moderado"),CONCATENATE("R5C",'Mapa final'!$O$34),"")</f>
        <v/>
      </c>
      <c r="Y50" s="65" t="str">
        <f>IF(AND('Mapa final'!$Y$35="Muy Baja",'Mapa final'!$AA$35="Moderado"),CONCATENATE("R5C",'Mapa final'!$O$35),"")</f>
        <v/>
      </c>
      <c r="Z50" s="65" t="str">
        <f>IF(AND('Mapa final'!$Y$36="Muy Baja",'Mapa final'!$AA$36="Moderado"),CONCATENATE("R5C",'Mapa final'!$O$36),"")</f>
        <v/>
      </c>
      <c r="AA50" s="66" t="str">
        <f>IF(AND('Mapa final'!$Y$37="Muy Baja",'Mapa final'!$AA$37="Moderado"),CONCATENATE("R5C",'Mapa final'!$O$37),"")</f>
        <v/>
      </c>
      <c r="AB50" s="49" t="str">
        <f>IF(AND('Mapa final'!$Y$32="Muy Baja",'Mapa final'!$AA$32="Mayor"),CONCATENATE("R5C",'Mapa final'!$O$32),"")</f>
        <v/>
      </c>
      <c r="AC50" s="50" t="str">
        <f>IF(AND('Mapa final'!$Y$33="Muy Baja",'Mapa final'!$AA$33="Mayor"),CONCATENATE("R5C",'Mapa final'!$O$33),"")</f>
        <v/>
      </c>
      <c r="AD50" s="50" t="str">
        <f>IF(AND('Mapa final'!$Y$34="Muy Baja",'Mapa final'!$AA$34="Mayor"),CONCATENATE("R5C",'Mapa final'!$O$34),"")</f>
        <v/>
      </c>
      <c r="AE50" s="50" t="str">
        <f>IF(AND('Mapa final'!$Y$35="Muy Baja",'Mapa final'!$AA$35="Mayor"),CONCATENATE("R5C",'Mapa final'!$O$35),"")</f>
        <v/>
      </c>
      <c r="AF50" s="50" t="str">
        <f>IF(AND('Mapa final'!$Y$36="Muy Baja",'Mapa final'!$AA$36="Mayor"),CONCATENATE("R5C",'Mapa final'!$O$36),"")</f>
        <v/>
      </c>
      <c r="AG50" s="51" t="str">
        <f>IF(AND('Mapa final'!$Y$37="Muy Baja",'Mapa final'!$AA$37="Mayor"),CONCATENATE("R5C",'Mapa final'!$O$37),"")</f>
        <v/>
      </c>
      <c r="AH50" s="52" t="str">
        <f>IF(AND('Mapa final'!$Y$32="Muy Baja",'Mapa final'!$AA$32="Catastrófico"),CONCATENATE("R5C",'Mapa final'!$O$32),"")</f>
        <v/>
      </c>
      <c r="AI50" s="53" t="str">
        <f>IF(AND('Mapa final'!$Y$33="Muy Baja",'Mapa final'!$AA$33="Catastrófico"),CONCATENATE("R5C",'Mapa final'!$O$33),"")</f>
        <v/>
      </c>
      <c r="AJ50" s="53" t="str">
        <f>IF(AND('Mapa final'!$Y$34="Muy Baja",'Mapa final'!$AA$34="Catastrófico"),CONCATENATE("R5C",'Mapa final'!$O$34),"")</f>
        <v/>
      </c>
      <c r="AK50" s="53" t="str">
        <f>IF(AND('Mapa final'!$Y$35="Muy Baja",'Mapa final'!$AA$35="Catastrófico"),CONCATENATE("R5C",'Mapa final'!$O$35),"")</f>
        <v/>
      </c>
      <c r="AL50" s="53" t="str">
        <f>IF(AND('Mapa final'!$Y$36="Muy Baja",'Mapa final'!$AA$36="Catastrófico"),CONCATENATE("R5C",'Mapa final'!$O$36),"")</f>
        <v/>
      </c>
      <c r="AM50" s="54" t="str">
        <f>IF(AND('Mapa final'!$Y$37="Muy Baja",'Mapa final'!$AA$37="Catastrófico"),CONCATENATE("R5C",'Mapa final'!$O$37),"")</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301"/>
      <c r="C51" s="301"/>
      <c r="D51" s="302"/>
      <c r="E51" s="286"/>
      <c r="F51" s="285"/>
      <c r="G51" s="285"/>
      <c r="H51" s="285"/>
      <c r="I51" s="304"/>
      <c r="J51" s="73" t="e">
        <f>IF(AND('Mapa final'!#REF!="Muy Baja",'Mapa final'!#REF!="Leve"),CONCATENATE("R6C",'Mapa final'!#REF!),"")</f>
        <v>#REF!</v>
      </c>
      <c r="K51" s="74" t="e">
        <f>IF(AND('Mapa final'!#REF!="Muy Baja",'Mapa final'!#REF!="Leve"),CONCATENATE("R6C",'Mapa final'!#REF!),"")</f>
        <v>#REF!</v>
      </c>
      <c r="L51" s="74" t="e">
        <f>IF(AND('Mapa final'!#REF!="Muy Baja",'Mapa final'!#REF!="Leve"),CONCATENATE("R6C",'Mapa final'!#REF!),"")</f>
        <v>#REF!</v>
      </c>
      <c r="M51" s="74" t="e">
        <f>IF(AND('Mapa final'!#REF!="Muy Baja",'Mapa final'!#REF!="Leve"),CONCATENATE("R6C",'Mapa final'!#REF!),"")</f>
        <v>#REF!</v>
      </c>
      <c r="N51" s="74" t="e">
        <f>IF(AND('Mapa final'!#REF!="Muy Baja",'Mapa final'!#REF!="Leve"),CONCATENATE("R6C",'Mapa final'!#REF!),"")</f>
        <v>#REF!</v>
      </c>
      <c r="O51" s="75" t="e">
        <f>IF(AND('Mapa final'!#REF!="Muy Baja",'Mapa final'!#REF!="Leve"),CONCATENATE("R6C",'Mapa final'!#REF!),"")</f>
        <v>#REF!</v>
      </c>
      <c r="P51" s="73" t="e">
        <f>IF(AND('Mapa final'!#REF!="Muy Baja",'Mapa final'!#REF!="Menor"),CONCATENATE("R6C",'Mapa final'!#REF!),"")</f>
        <v>#REF!</v>
      </c>
      <c r="Q51" s="74" t="e">
        <f>IF(AND('Mapa final'!#REF!="Muy Baja",'Mapa final'!#REF!="Menor"),CONCATENATE("R6C",'Mapa final'!#REF!),"")</f>
        <v>#REF!</v>
      </c>
      <c r="R51" s="74" t="e">
        <f>IF(AND('Mapa final'!#REF!="Muy Baja",'Mapa final'!#REF!="Menor"),CONCATENATE("R6C",'Mapa final'!#REF!),"")</f>
        <v>#REF!</v>
      </c>
      <c r="S51" s="74" t="e">
        <f>IF(AND('Mapa final'!#REF!="Muy Baja",'Mapa final'!#REF!="Menor"),CONCATENATE("R6C",'Mapa final'!#REF!),"")</f>
        <v>#REF!</v>
      </c>
      <c r="T51" s="74" t="e">
        <f>IF(AND('Mapa final'!#REF!="Muy Baja",'Mapa final'!#REF!="Menor"),CONCATENATE("R6C",'Mapa final'!#REF!),"")</f>
        <v>#REF!</v>
      </c>
      <c r="U51" s="75" t="e">
        <f>IF(AND('Mapa final'!#REF!="Muy Baja",'Mapa final'!#REF!="Menor"),CONCATENATE("R6C",'Mapa final'!#REF!),"")</f>
        <v>#REF!</v>
      </c>
      <c r="V51" s="64" t="e">
        <f>IF(AND('Mapa final'!#REF!="Muy Baja",'Mapa final'!#REF!="Moderado"),CONCATENATE("R6C",'Mapa final'!#REF!),"")</f>
        <v>#REF!</v>
      </c>
      <c r="W51" s="65" t="e">
        <f>IF(AND('Mapa final'!#REF!="Muy Baja",'Mapa final'!#REF!="Moderado"),CONCATENATE("R6C",'Mapa final'!#REF!),"")</f>
        <v>#REF!</v>
      </c>
      <c r="X51" s="65" t="e">
        <f>IF(AND('Mapa final'!#REF!="Muy Baja",'Mapa final'!#REF!="Moderado"),CONCATENATE("R6C",'Mapa final'!#REF!),"")</f>
        <v>#REF!</v>
      </c>
      <c r="Y51" s="65" t="e">
        <f>IF(AND('Mapa final'!#REF!="Muy Baja",'Mapa final'!#REF!="Moderado"),CONCATENATE("R6C",'Mapa final'!#REF!),"")</f>
        <v>#REF!</v>
      </c>
      <c r="Z51" s="65" t="e">
        <f>IF(AND('Mapa final'!#REF!="Muy Baja",'Mapa final'!#REF!="Moderado"),CONCATENATE("R6C",'Mapa final'!#REF!),"")</f>
        <v>#REF!</v>
      </c>
      <c r="AA51" s="66" t="e">
        <f>IF(AND('Mapa final'!#REF!="Muy Baja",'Mapa final'!#REF!="Moderado"),CONCATENATE("R6C",'Mapa final'!#REF!),"")</f>
        <v>#REF!</v>
      </c>
      <c r="AB51" s="49" t="e">
        <f>IF(AND('Mapa final'!#REF!="Muy Baja",'Mapa final'!#REF!="Mayor"),CONCATENATE("R6C",'Mapa final'!#REF!),"")</f>
        <v>#REF!</v>
      </c>
      <c r="AC51" s="50" t="e">
        <f>IF(AND('Mapa final'!#REF!="Muy Baja",'Mapa final'!#REF!="Mayor"),CONCATENATE("R6C",'Mapa final'!#REF!),"")</f>
        <v>#REF!</v>
      </c>
      <c r="AD51" s="50" t="e">
        <f>IF(AND('Mapa final'!#REF!="Muy Baja",'Mapa final'!#REF!="Mayor"),CONCATENATE("R6C",'Mapa final'!#REF!),"")</f>
        <v>#REF!</v>
      </c>
      <c r="AE51" s="50" t="e">
        <f>IF(AND('Mapa final'!#REF!="Muy Baja",'Mapa final'!#REF!="Mayor"),CONCATENATE("R6C",'Mapa final'!#REF!),"")</f>
        <v>#REF!</v>
      </c>
      <c r="AF51" s="50" t="e">
        <f>IF(AND('Mapa final'!#REF!="Muy Baja",'Mapa final'!#REF!="Mayor"),CONCATENATE("R6C",'Mapa final'!#REF!),"")</f>
        <v>#REF!</v>
      </c>
      <c r="AG51" s="51" t="e">
        <f>IF(AND('Mapa final'!#REF!="Muy Baja",'Mapa final'!#REF!="Mayor"),CONCATENATE("R6C",'Mapa final'!#REF!),"")</f>
        <v>#REF!</v>
      </c>
      <c r="AH51" s="52" t="e">
        <f>IF(AND('Mapa final'!#REF!="Muy Baja",'Mapa final'!#REF!="Catastrófico"),CONCATENATE("R6C",'Mapa final'!#REF!),"")</f>
        <v>#REF!</v>
      </c>
      <c r="AI51" s="53" t="e">
        <f>IF(AND('Mapa final'!#REF!="Muy Baja",'Mapa final'!#REF!="Catastrófico"),CONCATENATE("R6C",'Mapa final'!#REF!),"")</f>
        <v>#REF!</v>
      </c>
      <c r="AJ51" s="53" t="e">
        <f>IF(AND('Mapa final'!#REF!="Muy Baja",'Mapa final'!#REF!="Catastrófico"),CONCATENATE("R6C",'Mapa final'!#REF!),"")</f>
        <v>#REF!</v>
      </c>
      <c r="AK51" s="53" t="e">
        <f>IF(AND('Mapa final'!#REF!="Muy Baja",'Mapa final'!#REF!="Catastrófico"),CONCATENATE("R6C",'Mapa final'!#REF!),"")</f>
        <v>#REF!</v>
      </c>
      <c r="AL51" s="53" t="e">
        <f>IF(AND('Mapa final'!#REF!="Muy Baja",'Mapa final'!#REF!="Catastrófico"),CONCATENATE("R6C",'Mapa final'!#REF!),"")</f>
        <v>#REF!</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301"/>
      <c r="C52" s="301"/>
      <c r="D52" s="302"/>
      <c r="E52" s="286"/>
      <c r="F52" s="285"/>
      <c r="G52" s="285"/>
      <c r="H52" s="285"/>
      <c r="I52" s="304"/>
      <c r="J52" s="73" t="str">
        <f>IF(AND('Mapa final'!$Y$38="Muy Baja",'Mapa final'!$AA$38="Leve"),CONCATENATE("R7C",'Mapa final'!$O$38),"")</f>
        <v/>
      </c>
      <c r="K52" s="74" t="str">
        <f>IF(AND('Mapa final'!$Y$39="Muy Baja",'Mapa final'!$AA$39="Leve"),CONCATENATE("R7C",'Mapa final'!$O$39),"")</f>
        <v/>
      </c>
      <c r="L52" s="74" t="str">
        <f>IF(AND('Mapa final'!$Y$40="Muy Baja",'Mapa final'!$AA$40="Leve"),CONCATENATE("R7C",'Mapa final'!$O$40),"")</f>
        <v/>
      </c>
      <c r="M52" s="74" t="str">
        <f>IF(AND('Mapa final'!$Y$41="Muy Baja",'Mapa final'!$AA$41="Leve"),CONCATENATE("R7C",'Mapa final'!$O$41),"")</f>
        <v/>
      </c>
      <c r="N52" s="74" t="str">
        <f>IF(AND('Mapa final'!$Y$42="Muy Baja",'Mapa final'!$AA$42="Leve"),CONCATENATE("R7C",'Mapa final'!$O$42),"")</f>
        <v/>
      </c>
      <c r="O52" s="75" t="str">
        <f>IF(AND('Mapa final'!$Y$43="Muy Baja",'Mapa final'!$AA$43="Leve"),CONCATENATE("R7C",'Mapa final'!$O$43),"")</f>
        <v/>
      </c>
      <c r="P52" s="73" t="str">
        <f>IF(AND('Mapa final'!$Y$38="Muy Baja",'Mapa final'!$AA$38="Menor"),CONCATENATE("R7C",'Mapa final'!$O$38),"")</f>
        <v/>
      </c>
      <c r="Q52" s="74" t="str">
        <f>IF(AND('Mapa final'!$Y$39="Muy Baja",'Mapa final'!$AA$39="Menor"),CONCATENATE("R7C",'Mapa final'!$O$39),"")</f>
        <v/>
      </c>
      <c r="R52" s="74" t="str">
        <f>IF(AND('Mapa final'!$Y$40="Muy Baja",'Mapa final'!$AA$40="Menor"),CONCATENATE("R7C",'Mapa final'!$O$40),"")</f>
        <v/>
      </c>
      <c r="S52" s="74" t="str">
        <f>IF(AND('Mapa final'!$Y$41="Muy Baja",'Mapa final'!$AA$41="Menor"),CONCATENATE("R7C",'Mapa final'!$O$41),"")</f>
        <v/>
      </c>
      <c r="T52" s="74" t="str">
        <f>IF(AND('Mapa final'!$Y$42="Muy Baja",'Mapa final'!$AA$42="Menor"),CONCATENATE("R7C",'Mapa final'!$O$42),"")</f>
        <v/>
      </c>
      <c r="U52" s="75" t="str">
        <f>IF(AND('Mapa final'!$Y$43="Muy Baja",'Mapa final'!$AA$43="Menor"),CONCATENATE("R7C",'Mapa final'!$O$43),"")</f>
        <v/>
      </c>
      <c r="V52" s="64" t="str">
        <f>IF(AND('Mapa final'!$Y$38="Muy Baja",'Mapa final'!$AA$38="Moderado"),CONCATENATE("R7C",'Mapa final'!$O$38),"")</f>
        <v/>
      </c>
      <c r="W52" s="65" t="str">
        <f>IF(AND('Mapa final'!$Y$39="Muy Baja",'Mapa final'!$AA$39="Moderado"),CONCATENATE("R7C",'Mapa final'!$O$39),"")</f>
        <v/>
      </c>
      <c r="X52" s="65" t="str">
        <f>IF(AND('Mapa final'!$Y$40="Muy Baja",'Mapa final'!$AA$40="Moderado"),CONCATENATE("R7C",'Mapa final'!$O$40),"")</f>
        <v/>
      </c>
      <c r="Y52" s="65" t="str">
        <f>IF(AND('Mapa final'!$Y$41="Muy Baja",'Mapa final'!$AA$41="Moderado"),CONCATENATE("R7C",'Mapa final'!$O$41),"")</f>
        <v/>
      </c>
      <c r="Z52" s="65" t="str">
        <f>IF(AND('Mapa final'!$Y$42="Muy Baja",'Mapa final'!$AA$42="Moderado"),CONCATENATE("R7C",'Mapa final'!$O$42),"")</f>
        <v/>
      </c>
      <c r="AA52" s="66" t="str">
        <f>IF(AND('Mapa final'!$Y$43="Muy Baja",'Mapa final'!$AA$43="Moderado"),CONCATENATE("R7C",'Mapa final'!$O$43),"")</f>
        <v/>
      </c>
      <c r="AB52" s="49" t="str">
        <f>IF(AND('Mapa final'!$Y$38="Muy Baja",'Mapa final'!$AA$38="Mayor"),CONCATENATE("R7C",'Mapa final'!$O$38),"")</f>
        <v/>
      </c>
      <c r="AC52" s="50" t="str">
        <f>IF(AND('Mapa final'!$Y$39="Muy Baja",'Mapa final'!$AA$39="Mayor"),CONCATENATE("R7C",'Mapa final'!$O$39),"")</f>
        <v/>
      </c>
      <c r="AD52" s="50" t="str">
        <f>IF(AND('Mapa final'!$Y$40="Muy Baja",'Mapa final'!$AA$40="Mayor"),CONCATENATE("R7C",'Mapa final'!$O$40),"")</f>
        <v/>
      </c>
      <c r="AE52" s="50" t="str">
        <f>IF(AND('Mapa final'!$Y$41="Muy Baja",'Mapa final'!$AA$41="Mayor"),CONCATENATE("R7C",'Mapa final'!$O$41),"")</f>
        <v/>
      </c>
      <c r="AF52" s="50" t="str">
        <f>IF(AND('Mapa final'!$Y$42="Muy Baja",'Mapa final'!$AA$42="Mayor"),CONCATENATE("R7C",'Mapa final'!$O$42),"")</f>
        <v/>
      </c>
      <c r="AG52" s="51" t="str">
        <f>IF(AND('Mapa final'!$Y$43="Muy Baja",'Mapa final'!$AA$43="Mayor"),CONCATENATE("R7C",'Mapa final'!$O$43),"")</f>
        <v/>
      </c>
      <c r="AH52" s="52" t="str">
        <f>IF(AND('Mapa final'!$Y$38="Muy Baja",'Mapa final'!$AA$38="Catastrófico"),CONCATENATE("R7C",'Mapa final'!$O$38),"")</f>
        <v/>
      </c>
      <c r="AI52" s="53" t="str">
        <f>IF(AND('Mapa final'!$Y$39="Muy Baja",'Mapa final'!$AA$39="Catastrófico"),CONCATENATE("R7C",'Mapa final'!$O$39),"")</f>
        <v/>
      </c>
      <c r="AJ52" s="53" t="str">
        <f>IF(AND('Mapa final'!$Y$40="Muy Baja",'Mapa final'!$AA$40="Catastrófico"),CONCATENATE("R7C",'Mapa final'!$O$40),"")</f>
        <v/>
      </c>
      <c r="AK52" s="53" t="str">
        <f>IF(AND('Mapa final'!$Y$41="Muy Baja",'Mapa final'!$AA$41="Catastrófico"),CONCATENATE("R7C",'Mapa final'!$O$41),"")</f>
        <v/>
      </c>
      <c r="AL52" s="53" t="str">
        <f>IF(AND('Mapa final'!$Y$42="Muy Baja",'Mapa final'!$AA$42="Catastrófico"),CONCATENATE("R7C",'Mapa final'!$O$42),"")</f>
        <v/>
      </c>
      <c r="AM52" s="54" t="str">
        <f>IF(AND('Mapa final'!$Y$43="Muy Baja",'Mapa final'!$AA$43="Catastrófico"),CONCATENATE("R7C",'Mapa final'!$O$43),"")</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301"/>
      <c r="C53" s="301"/>
      <c r="D53" s="302"/>
      <c r="E53" s="286"/>
      <c r="F53" s="285"/>
      <c r="G53" s="285"/>
      <c r="H53" s="285"/>
      <c r="I53" s="304"/>
      <c r="J53" s="73" t="str">
        <f>IF(AND('Mapa final'!$Y$44="Muy Baja",'Mapa final'!$AA$44="Leve"),CONCATENATE("R8C",'Mapa final'!$O$44),"")</f>
        <v/>
      </c>
      <c r="K53" s="74" t="str">
        <f>IF(AND('Mapa final'!$Y$45="Muy Baja",'Mapa final'!$AA$45="Leve"),CONCATENATE("R8C",'Mapa final'!$O$45),"")</f>
        <v>R8C2</v>
      </c>
      <c r="L53" s="74" t="str">
        <f>IF(AND('Mapa final'!$Y$46="Muy Baja",'Mapa final'!$AA$46="Leve"),CONCATENATE("R8C",'Mapa final'!$O$46),"")</f>
        <v/>
      </c>
      <c r="M53" s="74" t="str">
        <f>IF(AND('Mapa final'!$Y$47="Muy Baja",'Mapa final'!$AA$47="Leve"),CONCATENATE("R8C",'Mapa final'!$O$47),"")</f>
        <v/>
      </c>
      <c r="N53" s="74" t="str">
        <f>IF(AND('Mapa final'!$Y$48="Muy Baja",'Mapa final'!$AA$48="Leve"),CONCATENATE("R8C",'Mapa final'!$O$48),"")</f>
        <v/>
      </c>
      <c r="O53" s="75" t="str">
        <f>IF(AND('Mapa final'!$Y$49="Muy Baja",'Mapa final'!$AA$49="Leve"),CONCATENATE("R8C",'Mapa final'!$O$49),"")</f>
        <v/>
      </c>
      <c r="P53" s="73" t="str">
        <f>IF(AND('Mapa final'!$Y$44="Muy Baja",'Mapa final'!$AA$44="Menor"),CONCATENATE("R8C",'Mapa final'!$O$44),"")</f>
        <v/>
      </c>
      <c r="Q53" s="74" t="str">
        <f>IF(AND('Mapa final'!$Y$45="Muy Baja",'Mapa final'!$AA$45="Menor"),CONCATENATE("R8C",'Mapa final'!$O$45),"")</f>
        <v/>
      </c>
      <c r="R53" s="74" t="str">
        <f>IF(AND('Mapa final'!$Y$46="Muy Baja",'Mapa final'!$AA$46="Menor"),CONCATENATE("R8C",'Mapa final'!$O$46),"")</f>
        <v/>
      </c>
      <c r="S53" s="74" t="str">
        <f>IF(AND('Mapa final'!$Y$47="Muy Baja",'Mapa final'!$AA$47="Menor"),CONCATENATE("R8C",'Mapa final'!$O$47),"")</f>
        <v/>
      </c>
      <c r="T53" s="74" t="str">
        <f>IF(AND('Mapa final'!$Y$48="Muy Baja",'Mapa final'!$AA$48="Menor"),CONCATENATE("R8C",'Mapa final'!$O$48),"")</f>
        <v/>
      </c>
      <c r="U53" s="75" t="str">
        <f>IF(AND('Mapa final'!$Y$49="Muy Baja",'Mapa final'!$AA$49="Menor"),CONCATENATE("R8C",'Mapa final'!$O$49),"")</f>
        <v/>
      </c>
      <c r="V53" s="64" t="str">
        <f>IF(AND('Mapa final'!$Y$44="Muy Baja",'Mapa final'!$AA$44="Moderado"),CONCATENATE("R8C",'Mapa final'!$O$44),"")</f>
        <v/>
      </c>
      <c r="W53" s="65" t="str">
        <f>IF(AND('Mapa final'!$Y$45="Muy Baja",'Mapa final'!$AA$45="Moderado"),CONCATENATE("R8C",'Mapa final'!$O$45),"")</f>
        <v/>
      </c>
      <c r="X53" s="65" t="str">
        <f>IF(AND('Mapa final'!$Y$46="Muy Baja",'Mapa final'!$AA$46="Moderado"),CONCATENATE("R8C",'Mapa final'!$O$46),"")</f>
        <v/>
      </c>
      <c r="Y53" s="65" t="str">
        <f>IF(AND('Mapa final'!$Y$47="Muy Baja",'Mapa final'!$AA$47="Moderado"),CONCATENATE("R8C",'Mapa final'!$O$47),"")</f>
        <v/>
      </c>
      <c r="Z53" s="65" t="str">
        <f>IF(AND('Mapa final'!$Y$48="Muy Baja",'Mapa final'!$AA$48="Moderado"),CONCATENATE("R8C",'Mapa final'!$O$48),"")</f>
        <v/>
      </c>
      <c r="AA53" s="66" t="str">
        <f>IF(AND('Mapa final'!$Y$49="Muy Baja",'Mapa final'!$AA$49="Moderado"),CONCATENATE("R8C",'Mapa final'!$O$49),"")</f>
        <v/>
      </c>
      <c r="AB53" s="49" t="str">
        <f>IF(AND('Mapa final'!$Y$44="Muy Baja",'Mapa final'!$AA$44="Mayor"),CONCATENATE("R8C",'Mapa final'!$O$44),"")</f>
        <v/>
      </c>
      <c r="AC53" s="50" t="str">
        <f>IF(AND('Mapa final'!$Y$45="Muy Baja",'Mapa final'!$AA$45="Mayor"),CONCATENATE("R8C",'Mapa final'!$O$45),"")</f>
        <v/>
      </c>
      <c r="AD53" s="50" t="str">
        <f>IF(AND('Mapa final'!$Y$46="Muy Baja",'Mapa final'!$AA$46="Mayor"),CONCATENATE("R8C",'Mapa final'!$O$46),"")</f>
        <v/>
      </c>
      <c r="AE53" s="50" t="str">
        <f>IF(AND('Mapa final'!$Y$47="Muy Baja",'Mapa final'!$AA$47="Mayor"),CONCATENATE("R8C",'Mapa final'!$O$47),"")</f>
        <v/>
      </c>
      <c r="AF53" s="50" t="str">
        <f>IF(AND('Mapa final'!$Y$48="Muy Baja",'Mapa final'!$AA$48="Mayor"),CONCATENATE("R8C",'Mapa final'!$O$48),"")</f>
        <v/>
      </c>
      <c r="AG53" s="51" t="str">
        <f>IF(AND('Mapa final'!$Y$49="Muy Baja",'Mapa final'!$AA$49="Mayor"),CONCATENATE("R8C",'Mapa final'!$O$49),"")</f>
        <v/>
      </c>
      <c r="AH53" s="52" t="str">
        <f>IF(AND('Mapa final'!$Y$44="Muy Baja",'Mapa final'!$AA$44="Catastrófico"),CONCATENATE("R8C",'Mapa final'!$O$44),"")</f>
        <v/>
      </c>
      <c r="AI53" s="53" t="str">
        <f>IF(AND('Mapa final'!$Y$45="Muy Baja",'Mapa final'!$AA$45="Catastrófico"),CONCATENATE("R8C",'Mapa final'!$O$45),"")</f>
        <v/>
      </c>
      <c r="AJ53" s="53" t="str">
        <f>IF(AND('Mapa final'!$Y$46="Muy Baja",'Mapa final'!$AA$46="Catastrófico"),CONCATENATE("R8C",'Mapa final'!$O$46),"")</f>
        <v/>
      </c>
      <c r="AK53" s="53" t="str">
        <f>IF(AND('Mapa final'!$Y$47="Muy Baja",'Mapa final'!$AA$47="Catastrófico"),CONCATENATE("R8C",'Mapa final'!$O$47),"")</f>
        <v/>
      </c>
      <c r="AL53" s="53" t="str">
        <f>IF(AND('Mapa final'!$Y$48="Muy Baja",'Mapa final'!$AA$48="Catastrófico"),CONCATENATE("R8C",'Mapa final'!$O$48),"")</f>
        <v/>
      </c>
      <c r="AM53" s="54" t="str">
        <f>IF(AND('Mapa final'!$Y$49="Muy Baja",'Mapa final'!$AA$49="Catastrófico"),CONCATENATE("R8C",'Mapa final'!$O$49),"")</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301"/>
      <c r="C54" s="301"/>
      <c r="D54" s="302"/>
      <c r="E54" s="286"/>
      <c r="F54" s="285"/>
      <c r="G54" s="285"/>
      <c r="H54" s="285"/>
      <c r="I54" s="304"/>
      <c r="J54" s="73" t="str">
        <f>IF(AND('Mapa final'!$Y$50="Muy Baja",'Mapa final'!$AA$50="Leve"),CONCATENATE("R9C",'Mapa final'!$O$50),"")</f>
        <v/>
      </c>
      <c r="K54" s="74" t="str">
        <f>IF(AND('Mapa final'!$Y$51="Muy Baja",'Mapa final'!$AA$51="Leve"),CONCATENATE("R9C",'Mapa final'!$O$51),"")</f>
        <v/>
      </c>
      <c r="L54" s="74" t="str">
        <f>IF(AND('Mapa final'!$Y$52="Muy Baja",'Mapa final'!$AA$52="Leve"),CONCATENATE("R9C",'Mapa final'!$O$52),"")</f>
        <v/>
      </c>
      <c r="M54" s="74" t="str">
        <f>IF(AND('Mapa final'!$Y$53="Muy Baja",'Mapa final'!$AA$53="Leve"),CONCATENATE("R9C",'Mapa final'!$O$53),"")</f>
        <v/>
      </c>
      <c r="N54" s="74" t="str">
        <f>IF(AND('Mapa final'!$Y$54="Muy Baja",'Mapa final'!$AA$54="Leve"),CONCATENATE("R9C",'Mapa final'!$O$54),"")</f>
        <v/>
      </c>
      <c r="O54" s="75" t="str">
        <f>IF(AND('Mapa final'!$Y$55="Muy Baja",'Mapa final'!$AA$55="Leve"),CONCATENATE("R9C",'Mapa final'!$O$55),"")</f>
        <v/>
      </c>
      <c r="P54" s="73" t="str">
        <f>IF(AND('Mapa final'!$Y$50="Muy Baja",'Mapa final'!$AA$50="Menor"),CONCATENATE("R9C",'Mapa final'!$O$50),"")</f>
        <v/>
      </c>
      <c r="Q54" s="74" t="str">
        <f>IF(AND('Mapa final'!$Y$51="Muy Baja",'Mapa final'!$AA$51="Menor"),CONCATENATE("R9C",'Mapa final'!$O$51),"")</f>
        <v/>
      </c>
      <c r="R54" s="74" t="str">
        <f>IF(AND('Mapa final'!$Y$52="Muy Baja",'Mapa final'!$AA$52="Menor"),CONCATENATE("R9C",'Mapa final'!$O$52),"")</f>
        <v/>
      </c>
      <c r="S54" s="74" t="str">
        <f>IF(AND('Mapa final'!$Y$53="Muy Baja",'Mapa final'!$AA$53="Menor"),CONCATENATE("R9C",'Mapa final'!$O$53),"")</f>
        <v/>
      </c>
      <c r="T54" s="74" t="str">
        <f>IF(AND('Mapa final'!$Y$54="Muy Baja",'Mapa final'!$AA$54="Menor"),CONCATENATE("R9C",'Mapa final'!$O$54),"")</f>
        <v/>
      </c>
      <c r="U54" s="75" t="str">
        <f>IF(AND('Mapa final'!$Y$55="Muy Baja",'Mapa final'!$AA$55="Menor"),CONCATENATE("R9C",'Mapa final'!$O$55),"")</f>
        <v/>
      </c>
      <c r="V54" s="64" t="str">
        <f>IF(AND('Mapa final'!$Y$50="Muy Baja",'Mapa final'!$AA$50="Moderado"),CONCATENATE("R9C",'Mapa final'!$O$50),"")</f>
        <v/>
      </c>
      <c r="W54" s="65" t="str">
        <f>IF(AND('Mapa final'!$Y$51="Muy Baja",'Mapa final'!$AA$51="Moderado"),CONCATENATE("R9C",'Mapa final'!$O$51),"")</f>
        <v/>
      </c>
      <c r="X54" s="65" t="str">
        <f>IF(AND('Mapa final'!$Y$52="Muy Baja",'Mapa final'!$AA$52="Moderado"),CONCATENATE("R9C",'Mapa final'!$O$52),"")</f>
        <v/>
      </c>
      <c r="Y54" s="65" t="str">
        <f>IF(AND('Mapa final'!$Y$53="Muy Baja",'Mapa final'!$AA$53="Moderado"),CONCATENATE("R9C",'Mapa final'!$O$53),"")</f>
        <v/>
      </c>
      <c r="Z54" s="65" t="str">
        <f>IF(AND('Mapa final'!$Y$54="Muy Baja",'Mapa final'!$AA$54="Moderado"),CONCATENATE("R9C",'Mapa final'!$O$54),"")</f>
        <v/>
      </c>
      <c r="AA54" s="66" t="str">
        <f>IF(AND('Mapa final'!$Y$55="Muy Baja",'Mapa final'!$AA$55="Moderado"),CONCATENATE("R9C",'Mapa final'!$O$55),"")</f>
        <v/>
      </c>
      <c r="AB54" s="49" t="str">
        <f>IF(AND('Mapa final'!$Y$50="Muy Baja",'Mapa final'!$AA$50="Mayor"),CONCATENATE("R9C",'Mapa final'!$O$50),"")</f>
        <v/>
      </c>
      <c r="AC54" s="50" t="str">
        <f>IF(AND('Mapa final'!$Y$51="Muy Baja",'Mapa final'!$AA$51="Mayor"),CONCATENATE("R9C",'Mapa final'!$O$51),"")</f>
        <v/>
      </c>
      <c r="AD54" s="50" t="str">
        <f>IF(AND('Mapa final'!$Y$52="Muy Baja",'Mapa final'!$AA$52="Mayor"),CONCATENATE("R9C",'Mapa final'!$O$52),"")</f>
        <v/>
      </c>
      <c r="AE54" s="50" t="str">
        <f>IF(AND('Mapa final'!$Y$53="Muy Baja",'Mapa final'!$AA$53="Mayor"),CONCATENATE("R9C",'Mapa final'!$O$53),"")</f>
        <v/>
      </c>
      <c r="AF54" s="50" t="str">
        <f>IF(AND('Mapa final'!$Y$54="Muy Baja",'Mapa final'!$AA$54="Mayor"),CONCATENATE("R9C",'Mapa final'!$O$54),"")</f>
        <v/>
      </c>
      <c r="AG54" s="51" t="str">
        <f>IF(AND('Mapa final'!$Y$55="Muy Baja",'Mapa final'!$AA$55="Mayor"),CONCATENATE("R9C",'Mapa final'!$O$55),"")</f>
        <v/>
      </c>
      <c r="AH54" s="52" t="str">
        <f>IF(AND('Mapa final'!$Y$50="Muy Baja",'Mapa final'!$AA$50="Catastrófico"),CONCATENATE("R9C",'Mapa final'!$O$50),"")</f>
        <v/>
      </c>
      <c r="AI54" s="53" t="str">
        <f>IF(AND('Mapa final'!$Y$51="Muy Baja",'Mapa final'!$AA$51="Catastrófico"),CONCATENATE("R9C",'Mapa final'!$O$51),"")</f>
        <v/>
      </c>
      <c r="AJ54" s="53" t="str">
        <f>IF(AND('Mapa final'!$Y$52="Muy Baja",'Mapa final'!$AA$52="Catastrófico"),CONCATENATE("R9C",'Mapa final'!$O$52),"")</f>
        <v/>
      </c>
      <c r="AK54" s="53" t="str">
        <f>IF(AND('Mapa final'!$Y$53="Muy Baja",'Mapa final'!$AA$53="Catastrófico"),CONCATENATE("R9C",'Mapa final'!$O$53),"")</f>
        <v/>
      </c>
      <c r="AL54" s="53" t="str">
        <f>IF(AND('Mapa final'!$Y$54="Muy Baja",'Mapa final'!$AA$54="Catastrófico"),CONCATENATE("R9C",'Mapa final'!$O$54),"")</f>
        <v/>
      </c>
      <c r="AM54" s="54" t="str">
        <f>IF(AND('Mapa final'!$Y$55="Muy Baja",'Mapa final'!$AA$55="Catastrófico"),CONCATENATE("R9C",'Mapa final'!$O$55),"")</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301"/>
      <c r="C55" s="301"/>
      <c r="D55" s="302"/>
      <c r="E55" s="287"/>
      <c r="F55" s="288"/>
      <c r="G55" s="288"/>
      <c r="H55" s="288"/>
      <c r="I55" s="305"/>
      <c r="J55" s="76" t="str">
        <f>IF(AND('Mapa final'!$Y$56="Muy Baja",'Mapa final'!$AA$56="Leve"),CONCATENATE("R10C",'Mapa final'!$O$56),"")</f>
        <v/>
      </c>
      <c r="K55" s="77" t="str">
        <f>IF(AND('Mapa final'!$Y$57="Muy Baja",'Mapa final'!$AA$57="Leve"),CONCATENATE("R10C",'Mapa final'!$O$57),"")</f>
        <v/>
      </c>
      <c r="L55" s="77" t="str">
        <f>IF(AND('Mapa final'!$Y$58="Muy Baja",'Mapa final'!$AA$58="Leve"),CONCATENATE("R10C",'Mapa final'!$O$58),"")</f>
        <v/>
      </c>
      <c r="M55" s="77" t="str">
        <f>IF(AND('Mapa final'!$Y$59="Muy Baja",'Mapa final'!$AA$59="Leve"),CONCATENATE("R10C",'Mapa final'!$O$59),"")</f>
        <v/>
      </c>
      <c r="N55" s="77" t="str">
        <f>IF(AND('Mapa final'!$Y$60="Muy Baja",'Mapa final'!$AA$60="Leve"),CONCATENATE("R10C",'Mapa final'!$O$60),"")</f>
        <v/>
      </c>
      <c r="O55" s="78" t="str">
        <f>IF(AND('Mapa final'!$Y$61="Muy Baja",'Mapa final'!$AA$61="Leve"),CONCATENATE("R10C",'Mapa final'!$O$61),"")</f>
        <v/>
      </c>
      <c r="P55" s="76" t="str">
        <f>IF(AND('Mapa final'!$Y$56="Muy Baja",'Mapa final'!$AA$56="Menor"),CONCATENATE("R10C",'Mapa final'!$O$56),"")</f>
        <v/>
      </c>
      <c r="Q55" s="77" t="str">
        <f>IF(AND('Mapa final'!$Y$57="Muy Baja",'Mapa final'!$AA$57="Menor"),CONCATENATE("R10C",'Mapa final'!$O$57),"")</f>
        <v/>
      </c>
      <c r="R55" s="77" t="str">
        <f>IF(AND('Mapa final'!$Y$58="Muy Baja",'Mapa final'!$AA$58="Menor"),CONCATENATE("R10C",'Mapa final'!$O$58),"")</f>
        <v/>
      </c>
      <c r="S55" s="77" t="str">
        <f>IF(AND('Mapa final'!$Y$59="Muy Baja",'Mapa final'!$AA$59="Menor"),CONCATENATE("R10C",'Mapa final'!$O$59),"")</f>
        <v/>
      </c>
      <c r="T55" s="77" t="str">
        <f>IF(AND('Mapa final'!$Y$60="Muy Baja",'Mapa final'!$AA$60="Menor"),CONCATENATE("R10C",'Mapa final'!$O$60),"")</f>
        <v/>
      </c>
      <c r="U55" s="78" t="str">
        <f>IF(AND('Mapa final'!$Y$61="Muy Baja",'Mapa final'!$AA$61="Menor"),CONCATENATE("R10C",'Mapa final'!$O$61),"")</f>
        <v/>
      </c>
      <c r="V55" s="67" t="str">
        <f>IF(AND('Mapa final'!$Y$56="Muy Baja",'Mapa final'!$AA$56="Moderado"),CONCATENATE("R10C",'Mapa final'!$O$56),"")</f>
        <v/>
      </c>
      <c r="W55" s="68" t="str">
        <f>IF(AND('Mapa final'!$Y$57="Muy Baja",'Mapa final'!$AA$57="Moderado"),CONCATENATE("R10C",'Mapa final'!$O$57),"")</f>
        <v/>
      </c>
      <c r="X55" s="68" t="str">
        <f>IF(AND('Mapa final'!$Y$58="Muy Baja",'Mapa final'!$AA$58="Moderado"),CONCATENATE("R10C",'Mapa final'!$O$58),"")</f>
        <v/>
      </c>
      <c r="Y55" s="68" t="str">
        <f>IF(AND('Mapa final'!$Y$59="Muy Baja",'Mapa final'!$AA$59="Moderado"),CONCATENATE("R10C",'Mapa final'!$O$59),"")</f>
        <v/>
      </c>
      <c r="Z55" s="68" t="str">
        <f>IF(AND('Mapa final'!$Y$60="Muy Baja",'Mapa final'!$AA$60="Moderado"),CONCATENATE("R10C",'Mapa final'!$O$60),"")</f>
        <v/>
      </c>
      <c r="AA55" s="69" t="str">
        <f>IF(AND('Mapa final'!$Y$61="Muy Baja",'Mapa final'!$AA$61="Moderado"),CONCATENATE("R10C",'Mapa final'!$O$61),"")</f>
        <v/>
      </c>
      <c r="AB55" s="55" t="str">
        <f>IF(AND('Mapa final'!$Y$56="Muy Baja",'Mapa final'!$AA$56="Mayor"),CONCATENATE("R10C",'Mapa final'!$O$56),"")</f>
        <v/>
      </c>
      <c r="AC55" s="56" t="str">
        <f>IF(AND('Mapa final'!$Y$57="Muy Baja",'Mapa final'!$AA$57="Mayor"),CONCATENATE("R10C",'Mapa final'!$O$57),"")</f>
        <v/>
      </c>
      <c r="AD55" s="56" t="str">
        <f>IF(AND('Mapa final'!$Y$58="Muy Baja",'Mapa final'!$AA$58="Mayor"),CONCATENATE("R10C",'Mapa final'!$O$58),"")</f>
        <v/>
      </c>
      <c r="AE55" s="56" t="str">
        <f>IF(AND('Mapa final'!$Y$59="Muy Baja",'Mapa final'!$AA$59="Mayor"),CONCATENATE("R10C",'Mapa final'!$O$59),"")</f>
        <v/>
      </c>
      <c r="AF55" s="56" t="str">
        <f>IF(AND('Mapa final'!$Y$60="Muy Baja",'Mapa final'!$AA$60="Mayor"),CONCATENATE("R10C",'Mapa final'!$O$60),"")</f>
        <v/>
      </c>
      <c r="AG55" s="57" t="str">
        <f>IF(AND('Mapa final'!$Y$61="Muy Baja",'Mapa final'!$AA$61="Mayor"),CONCATENATE("R10C",'Mapa final'!$O$61),"")</f>
        <v/>
      </c>
      <c r="AH55" s="58" t="str">
        <f>IF(AND('Mapa final'!$Y$56="Muy Baja",'Mapa final'!$AA$56="Catastrófico"),CONCATENATE("R10C",'Mapa final'!$O$56),"")</f>
        <v/>
      </c>
      <c r="AI55" s="59" t="str">
        <f>IF(AND('Mapa final'!$Y$57="Muy Baja",'Mapa final'!$AA$57="Catastrófico"),CONCATENATE("R10C",'Mapa final'!$O$57),"")</f>
        <v/>
      </c>
      <c r="AJ55" s="59" t="str">
        <f>IF(AND('Mapa final'!$Y$58="Muy Baja",'Mapa final'!$AA$58="Catastrófico"),CONCATENATE("R10C",'Mapa final'!$O$58),"")</f>
        <v/>
      </c>
      <c r="AK55" s="59" t="str">
        <f>IF(AND('Mapa final'!$Y$59="Muy Baja",'Mapa final'!$AA$59="Catastrófico"),CONCATENATE("R10C",'Mapa final'!$O$59),"")</f>
        <v/>
      </c>
      <c r="AL55" s="59" t="str">
        <f>IF(AND('Mapa final'!$Y$60="Muy Baja",'Mapa final'!$AA$60="Catastrófico"),CONCATENATE("R10C",'Mapa final'!$O$60),"")</f>
        <v/>
      </c>
      <c r="AM55" s="60" t="str">
        <f>IF(AND('Mapa final'!$Y$61="Muy Baja",'Mapa final'!$AA$61="Catastrófico"),CONCATENATE("R10C",'Mapa final'!$O$61),"")</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82" t="s">
        <v>112</v>
      </c>
      <c r="K56" s="283"/>
      <c r="L56" s="283"/>
      <c r="M56" s="283"/>
      <c r="N56" s="283"/>
      <c r="O56" s="303"/>
      <c r="P56" s="282" t="s">
        <v>111</v>
      </c>
      <c r="Q56" s="283"/>
      <c r="R56" s="283"/>
      <c r="S56" s="283"/>
      <c r="T56" s="283"/>
      <c r="U56" s="303"/>
      <c r="V56" s="282" t="s">
        <v>110</v>
      </c>
      <c r="W56" s="283"/>
      <c r="X56" s="283"/>
      <c r="Y56" s="283"/>
      <c r="Z56" s="283"/>
      <c r="AA56" s="303"/>
      <c r="AB56" s="282" t="s">
        <v>109</v>
      </c>
      <c r="AC56" s="324"/>
      <c r="AD56" s="283"/>
      <c r="AE56" s="283"/>
      <c r="AF56" s="283"/>
      <c r="AG56" s="303"/>
      <c r="AH56" s="282" t="s">
        <v>108</v>
      </c>
      <c r="AI56" s="283"/>
      <c r="AJ56" s="283"/>
      <c r="AK56" s="283"/>
      <c r="AL56" s="283"/>
      <c r="AM56" s="303"/>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86"/>
      <c r="K57" s="285"/>
      <c r="L57" s="285"/>
      <c r="M57" s="285"/>
      <c r="N57" s="285"/>
      <c r="O57" s="304"/>
      <c r="P57" s="286"/>
      <c r="Q57" s="285"/>
      <c r="R57" s="285"/>
      <c r="S57" s="285"/>
      <c r="T57" s="285"/>
      <c r="U57" s="304"/>
      <c r="V57" s="286"/>
      <c r="W57" s="285"/>
      <c r="X57" s="285"/>
      <c r="Y57" s="285"/>
      <c r="Z57" s="285"/>
      <c r="AA57" s="304"/>
      <c r="AB57" s="286"/>
      <c r="AC57" s="285"/>
      <c r="AD57" s="285"/>
      <c r="AE57" s="285"/>
      <c r="AF57" s="285"/>
      <c r="AG57" s="304"/>
      <c r="AH57" s="286"/>
      <c r="AI57" s="285"/>
      <c r="AJ57" s="285"/>
      <c r="AK57" s="285"/>
      <c r="AL57" s="285"/>
      <c r="AM57" s="304"/>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86"/>
      <c r="K58" s="285"/>
      <c r="L58" s="285"/>
      <c r="M58" s="285"/>
      <c r="N58" s="285"/>
      <c r="O58" s="304"/>
      <c r="P58" s="286"/>
      <c r="Q58" s="285"/>
      <c r="R58" s="285"/>
      <c r="S58" s="285"/>
      <c r="T58" s="285"/>
      <c r="U58" s="304"/>
      <c r="V58" s="286"/>
      <c r="W58" s="285"/>
      <c r="X58" s="285"/>
      <c r="Y58" s="285"/>
      <c r="Z58" s="285"/>
      <c r="AA58" s="304"/>
      <c r="AB58" s="286"/>
      <c r="AC58" s="285"/>
      <c r="AD58" s="285"/>
      <c r="AE58" s="285"/>
      <c r="AF58" s="285"/>
      <c r="AG58" s="304"/>
      <c r="AH58" s="286"/>
      <c r="AI58" s="285"/>
      <c r="AJ58" s="285"/>
      <c r="AK58" s="285"/>
      <c r="AL58" s="285"/>
      <c r="AM58" s="304"/>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86"/>
      <c r="K59" s="285"/>
      <c r="L59" s="285"/>
      <c r="M59" s="285"/>
      <c r="N59" s="285"/>
      <c r="O59" s="304"/>
      <c r="P59" s="286"/>
      <c r="Q59" s="285"/>
      <c r="R59" s="285"/>
      <c r="S59" s="285"/>
      <c r="T59" s="285"/>
      <c r="U59" s="304"/>
      <c r="V59" s="286"/>
      <c r="W59" s="285"/>
      <c r="X59" s="285"/>
      <c r="Y59" s="285"/>
      <c r="Z59" s="285"/>
      <c r="AA59" s="304"/>
      <c r="AB59" s="286"/>
      <c r="AC59" s="285"/>
      <c r="AD59" s="285"/>
      <c r="AE59" s="285"/>
      <c r="AF59" s="285"/>
      <c r="AG59" s="304"/>
      <c r="AH59" s="286"/>
      <c r="AI59" s="285"/>
      <c r="AJ59" s="285"/>
      <c r="AK59" s="285"/>
      <c r="AL59" s="285"/>
      <c r="AM59" s="304"/>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86"/>
      <c r="K60" s="285"/>
      <c r="L60" s="285"/>
      <c r="M60" s="285"/>
      <c r="N60" s="285"/>
      <c r="O60" s="304"/>
      <c r="P60" s="286"/>
      <c r="Q60" s="285"/>
      <c r="R60" s="285"/>
      <c r="S60" s="285"/>
      <c r="T60" s="285"/>
      <c r="U60" s="304"/>
      <c r="V60" s="286"/>
      <c r="W60" s="285"/>
      <c r="X60" s="285"/>
      <c r="Y60" s="285"/>
      <c r="Z60" s="285"/>
      <c r="AA60" s="304"/>
      <c r="AB60" s="286"/>
      <c r="AC60" s="285"/>
      <c r="AD60" s="285"/>
      <c r="AE60" s="285"/>
      <c r="AF60" s="285"/>
      <c r="AG60" s="304"/>
      <c r="AH60" s="286"/>
      <c r="AI60" s="285"/>
      <c r="AJ60" s="285"/>
      <c r="AK60" s="285"/>
      <c r="AL60" s="285"/>
      <c r="AM60" s="304"/>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87"/>
      <c r="K61" s="288"/>
      <c r="L61" s="288"/>
      <c r="M61" s="288"/>
      <c r="N61" s="288"/>
      <c r="O61" s="305"/>
      <c r="P61" s="287"/>
      <c r="Q61" s="288"/>
      <c r="R61" s="288"/>
      <c r="S61" s="288"/>
      <c r="T61" s="288"/>
      <c r="U61" s="305"/>
      <c r="V61" s="287"/>
      <c r="W61" s="288"/>
      <c r="X61" s="288"/>
      <c r="Y61" s="288"/>
      <c r="Z61" s="288"/>
      <c r="AA61" s="305"/>
      <c r="AB61" s="287"/>
      <c r="AC61" s="288"/>
      <c r="AD61" s="288"/>
      <c r="AE61" s="288"/>
      <c r="AF61" s="288"/>
      <c r="AG61" s="305"/>
      <c r="AH61" s="287"/>
      <c r="AI61" s="288"/>
      <c r="AJ61" s="288"/>
      <c r="AK61" s="288"/>
      <c r="AL61" s="288"/>
      <c r="AM61" s="305"/>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407" t="s">
        <v>161</v>
      </c>
      <c r="C2" s="407"/>
      <c r="D2" s="407"/>
      <c r="E2" s="407"/>
      <c r="F2" s="407"/>
      <c r="G2" s="407"/>
      <c r="H2" s="407"/>
      <c r="I2" s="407"/>
      <c r="J2" s="300" t="s">
        <v>2</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407"/>
      <c r="C3" s="407"/>
      <c r="D3" s="407"/>
      <c r="E3" s="407"/>
      <c r="F3" s="407"/>
      <c r="G3" s="407"/>
      <c r="H3" s="407"/>
      <c r="I3" s="407"/>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407"/>
      <c r="C4" s="407"/>
      <c r="D4" s="407"/>
      <c r="E4" s="407"/>
      <c r="F4" s="407"/>
      <c r="G4" s="407"/>
      <c r="H4" s="407"/>
      <c r="I4" s="407"/>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301" t="s">
        <v>4</v>
      </c>
      <c r="C6" s="301"/>
      <c r="D6" s="302"/>
      <c r="E6" s="361" t="s">
        <v>116</v>
      </c>
      <c r="F6" s="362"/>
      <c r="G6" s="362"/>
      <c r="H6" s="362"/>
      <c r="I6" s="363"/>
      <c r="J6" s="372" t="str">
        <f>IF(AND('Mapa final'!$H$10="Muy Alta",'Mapa final'!$L$10="Leve"),CONCATENATE("R",'Mapa final'!$A$10),"")</f>
        <v/>
      </c>
      <c r="K6" s="373"/>
      <c r="L6" s="373" t="str">
        <f>IF(AND('Mapa final'!$H$16="Muy Alta",'Mapa final'!$L$16="Leve"),CONCATENATE("R",'Mapa final'!$A$16),"")</f>
        <v/>
      </c>
      <c r="M6" s="373"/>
      <c r="N6" s="373" t="str">
        <f>IF(AND('Mapa final'!$H$22="Muy Alta",'Mapa final'!$L$22="Leve"),CONCATENATE("R",'Mapa final'!$A$22),"")</f>
        <v/>
      </c>
      <c r="O6" s="375"/>
      <c r="P6" s="372" t="str">
        <f>IF(AND('Mapa final'!$H$10="Muy Alta",'Mapa final'!$L$10="Menor"),CONCATENATE("R",'Mapa final'!$A$10),"")</f>
        <v/>
      </c>
      <c r="Q6" s="373"/>
      <c r="R6" s="373" t="str">
        <f>IF(AND('Mapa final'!$H$16="Muy Alta",'Mapa final'!$L$16="Menor"),CONCATENATE("R",'Mapa final'!$A$16),"")</f>
        <v/>
      </c>
      <c r="S6" s="373"/>
      <c r="T6" s="373" t="str">
        <f>IF(AND('Mapa final'!$H$22="Muy Alta",'Mapa final'!$L$22="Menor"),CONCATENATE("R",'Mapa final'!$A$22),"")</f>
        <v/>
      </c>
      <c r="U6" s="375"/>
      <c r="V6" s="372" t="str">
        <f>IF(AND('Mapa final'!$H$10="Muy Alta",'Mapa final'!$L$10="Moderado"),CONCATENATE("R",'Mapa final'!$A$10),"")</f>
        <v/>
      </c>
      <c r="W6" s="373"/>
      <c r="X6" s="373" t="str">
        <f>IF(AND('Mapa final'!$H$16="Muy Alta",'Mapa final'!$L$16="Moderado"),CONCATENATE("R",'Mapa final'!$A$16),"")</f>
        <v/>
      </c>
      <c r="Y6" s="373"/>
      <c r="Z6" s="373" t="str">
        <f>IF(AND('Mapa final'!$H$22="Muy Alta",'Mapa final'!$L$22="Moderado"),CONCATENATE("R",'Mapa final'!$A$22),"")</f>
        <v/>
      </c>
      <c r="AA6" s="375"/>
      <c r="AB6" s="372" t="str">
        <f>IF(AND('Mapa final'!$H$10="Muy Alta",'Mapa final'!$L$10="Mayor"),CONCATENATE("R",'Mapa final'!$A$10),"")</f>
        <v/>
      </c>
      <c r="AC6" s="373"/>
      <c r="AD6" s="373" t="str">
        <f>IF(AND('Mapa final'!$H$16="Muy Alta",'Mapa final'!$L$16="Mayor"),CONCATENATE("R",'Mapa final'!$A$16),"")</f>
        <v/>
      </c>
      <c r="AE6" s="373"/>
      <c r="AF6" s="373" t="str">
        <f>IF(AND('Mapa final'!$H$22="Muy Alta",'Mapa final'!$L$22="Mayor"),CONCATENATE("R",'Mapa final'!$A$22),"")</f>
        <v/>
      </c>
      <c r="AG6" s="375"/>
      <c r="AH6" s="386" t="str">
        <f>IF(AND('Mapa final'!$H$10="Muy Alta",'Mapa final'!$L$10="Catastrófico"),CONCATENATE("R",'Mapa final'!$A$10),"")</f>
        <v/>
      </c>
      <c r="AI6" s="387"/>
      <c r="AJ6" s="387" t="str">
        <f>IF(AND('Mapa final'!$H$16="Muy Alta",'Mapa final'!$L$16="Catastrófico"),CONCATENATE("R",'Mapa final'!$A$16),"")</f>
        <v/>
      </c>
      <c r="AK6" s="387"/>
      <c r="AL6" s="387" t="str">
        <f>IF(AND('Mapa final'!$H$22="Muy Alta",'Mapa final'!$L$22="Catastrófico"),CONCATENATE("R",'Mapa final'!$A$22),"")</f>
        <v/>
      </c>
      <c r="AM6" s="388"/>
      <c r="AO6" s="325" t="s">
        <v>79</v>
      </c>
      <c r="AP6" s="326"/>
      <c r="AQ6" s="326"/>
      <c r="AR6" s="326"/>
      <c r="AS6" s="326"/>
      <c r="AT6" s="327"/>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301"/>
      <c r="C7" s="301"/>
      <c r="D7" s="302"/>
      <c r="E7" s="364"/>
      <c r="F7" s="365"/>
      <c r="G7" s="365"/>
      <c r="H7" s="365"/>
      <c r="I7" s="366"/>
      <c r="J7" s="374"/>
      <c r="K7" s="370"/>
      <c r="L7" s="370"/>
      <c r="M7" s="370"/>
      <c r="N7" s="370"/>
      <c r="O7" s="371"/>
      <c r="P7" s="374"/>
      <c r="Q7" s="370"/>
      <c r="R7" s="370"/>
      <c r="S7" s="370"/>
      <c r="T7" s="370"/>
      <c r="U7" s="371"/>
      <c r="V7" s="374"/>
      <c r="W7" s="370"/>
      <c r="X7" s="370"/>
      <c r="Y7" s="370"/>
      <c r="Z7" s="370"/>
      <c r="AA7" s="371"/>
      <c r="AB7" s="374"/>
      <c r="AC7" s="370"/>
      <c r="AD7" s="370"/>
      <c r="AE7" s="370"/>
      <c r="AF7" s="370"/>
      <c r="AG7" s="371"/>
      <c r="AH7" s="380"/>
      <c r="AI7" s="381"/>
      <c r="AJ7" s="381"/>
      <c r="AK7" s="381"/>
      <c r="AL7" s="381"/>
      <c r="AM7" s="382"/>
      <c r="AN7" s="80"/>
      <c r="AO7" s="328"/>
      <c r="AP7" s="329"/>
      <c r="AQ7" s="329"/>
      <c r="AR7" s="329"/>
      <c r="AS7" s="329"/>
      <c r="AT7" s="33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301"/>
      <c r="C8" s="301"/>
      <c r="D8" s="302"/>
      <c r="E8" s="364"/>
      <c r="F8" s="365"/>
      <c r="G8" s="365"/>
      <c r="H8" s="365"/>
      <c r="I8" s="366"/>
      <c r="J8" s="374" t="str">
        <f>IF(AND('Mapa final'!$H$27="Muy Alta",'Mapa final'!$L$27="Leve"),CONCATENATE("R",'Mapa final'!$A$27),"")</f>
        <v/>
      </c>
      <c r="K8" s="370"/>
      <c r="L8" s="370" t="str">
        <f>IF(AND('Mapa final'!$H$32="Muy Alta",'Mapa final'!$L$32="Leve"),CONCATENATE("R",'Mapa final'!$A$32),"")</f>
        <v/>
      </c>
      <c r="M8" s="370"/>
      <c r="N8" s="370" t="e">
        <f>IF(AND('Mapa final'!#REF!="Muy Alta",'Mapa final'!#REF!="Leve"),CONCATENATE("R",'Mapa final'!#REF!),"")</f>
        <v>#REF!</v>
      </c>
      <c r="O8" s="371"/>
      <c r="P8" s="374" t="str">
        <f>IF(AND('Mapa final'!$H$27="Muy Alta",'Mapa final'!$L$27="Menor"),CONCATENATE("R",'Mapa final'!$A$27),"")</f>
        <v/>
      </c>
      <c r="Q8" s="370"/>
      <c r="R8" s="370" t="str">
        <f>IF(AND('Mapa final'!$H$32="Muy Alta",'Mapa final'!$L$32="Menor"),CONCATENATE("R",'Mapa final'!$A$32),"")</f>
        <v/>
      </c>
      <c r="S8" s="370"/>
      <c r="T8" s="370" t="e">
        <f>IF(AND('Mapa final'!#REF!="Muy Alta",'Mapa final'!#REF!="Menor"),CONCATENATE("R",'Mapa final'!#REF!),"")</f>
        <v>#REF!</v>
      </c>
      <c r="U8" s="371"/>
      <c r="V8" s="374" t="str">
        <f>IF(AND('Mapa final'!$H$27="Muy Alta",'Mapa final'!$L$27="Moderado"),CONCATENATE("R",'Mapa final'!$A$27),"")</f>
        <v/>
      </c>
      <c r="W8" s="370"/>
      <c r="X8" s="370" t="str">
        <f>IF(AND('Mapa final'!$H$32="Muy Alta",'Mapa final'!$L$32="Moderado"),CONCATENATE("R",'Mapa final'!$A$32),"")</f>
        <v/>
      </c>
      <c r="Y8" s="370"/>
      <c r="Z8" s="370" t="e">
        <f>IF(AND('Mapa final'!#REF!="Muy Alta",'Mapa final'!#REF!="Moderado"),CONCATENATE("R",'Mapa final'!#REF!),"")</f>
        <v>#REF!</v>
      </c>
      <c r="AA8" s="371"/>
      <c r="AB8" s="374" t="str">
        <f>IF(AND('Mapa final'!$H$27="Muy Alta",'Mapa final'!$L$27="Mayor"),CONCATENATE("R",'Mapa final'!$A$27),"")</f>
        <v/>
      </c>
      <c r="AC8" s="370"/>
      <c r="AD8" s="370" t="str">
        <f>IF(AND('Mapa final'!$H$32="Muy Alta",'Mapa final'!$L$32="Mayor"),CONCATENATE("R",'Mapa final'!$A$32),"")</f>
        <v/>
      </c>
      <c r="AE8" s="370"/>
      <c r="AF8" s="370" t="e">
        <f>IF(AND('Mapa final'!#REF!="Muy Alta",'Mapa final'!#REF!="Mayor"),CONCATENATE("R",'Mapa final'!#REF!),"")</f>
        <v>#REF!</v>
      </c>
      <c r="AG8" s="371"/>
      <c r="AH8" s="380" t="str">
        <f>IF(AND('Mapa final'!$H$27="Muy Alta",'Mapa final'!$L$27="Catastrófico"),CONCATENATE("R",'Mapa final'!$A$27),"")</f>
        <v/>
      </c>
      <c r="AI8" s="381"/>
      <c r="AJ8" s="381" t="str">
        <f>IF(AND('Mapa final'!$H$32="Muy Alta",'Mapa final'!$L$32="Catastrófico"),CONCATENATE("R",'Mapa final'!$A$32),"")</f>
        <v/>
      </c>
      <c r="AK8" s="381"/>
      <c r="AL8" s="381" t="e">
        <f>IF(AND('Mapa final'!#REF!="Muy Alta",'Mapa final'!#REF!="Catastrófico"),CONCATENATE("R",'Mapa final'!#REF!),"")</f>
        <v>#REF!</v>
      </c>
      <c r="AM8" s="382"/>
      <c r="AN8" s="80"/>
      <c r="AO8" s="328"/>
      <c r="AP8" s="329"/>
      <c r="AQ8" s="329"/>
      <c r="AR8" s="329"/>
      <c r="AS8" s="329"/>
      <c r="AT8" s="33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301"/>
      <c r="C9" s="301"/>
      <c r="D9" s="302"/>
      <c r="E9" s="364"/>
      <c r="F9" s="365"/>
      <c r="G9" s="365"/>
      <c r="H9" s="365"/>
      <c r="I9" s="366"/>
      <c r="J9" s="374"/>
      <c r="K9" s="370"/>
      <c r="L9" s="370"/>
      <c r="M9" s="370"/>
      <c r="N9" s="370"/>
      <c r="O9" s="371"/>
      <c r="P9" s="374"/>
      <c r="Q9" s="370"/>
      <c r="R9" s="370"/>
      <c r="S9" s="370"/>
      <c r="T9" s="370"/>
      <c r="U9" s="371"/>
      <c r="V9" s="374"/>
      <c r="W9" s="370"/>
      <c r="X9" s="370"/>
      <c r="Y9" s="370"/>
      <c r="Z9" s="370"/>
      <c r="AA9" s="371"/>
      <c r="AB9" s="374"/>
      <c r="AC9" s="370"/>
      <c r="AD9" s="370"/>
      <c r="AE9" s="370"/>
      <c r="AF9" s="370"/>
      <c r="AG9" s="371"/>
      <c r="AH9" s="380"/>
      <c r="AI9" s="381"/>
      <c r="AJ9" s="381"/>
      <c r="AK9" s="381"/>
      <c r="AL9" s="381"/>
      <c r="AM9" s="382"/>
      <c r="AN9" s="80"/>
      <c r="AO9" s="328"/>
      <c r="AP9" s="329"/>
      <c r="AQ9" s="329"/>
      <c r="AR9" s="329"/>
      <c r="AS9" s="329"/>
      <c r="AT9" s="33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301"/>
      <c r="C10" s="301"/>
      <c r="D10" s="302"/>
      <c r="E10" s="364"/>
      <c r="F10" s="365"/>
      <c r="G10" s="365"/>
      <c r="H10" s="365"/>
      <c r="I10" s="366"/>
      <c r="J10" s="374" t="str">
        <f>IF(AND('Mapa final'!$H$38="Muy Alta",'Mapa final'!$L$38="Leve"),CONCATENATE("R",'Mapa final'!$A$38),"")</f>
        <v/>
      </c>
      <c r="K10" s="370"/>
      <c r="L10" s="370" t="str">
        <f>IF(AND('Mapa final'!$H$44="Muy Alta",'Mapa final'!$L$44="Leve"),CONCATENATE("R",'Mapa final'!$A$44),"")</f>
        <v/>
      </c>
      <c r="M10" s="370"/>
      <c r="N10" s="370" t="str">
        <f>IF(AND('Mapa final'!$H$50="Muy Alta",'Mapa final'!$L$50="Leve"),CONCATENATE("R",'Mapa final'!$A$50),"")</f>
        <v/>
      </c>
      <c r="O10" s="371"/>
      <c r="P10" s="374" t="str">
        <f>IF(AND('Mapa final'!$H$38="Muy Alta",'Mapa final'!$L$38="Menor"),CONCATENATE("R",'Mapa final'!$A$38),"")</f>
        <v/>
      </c>
      <c r="Q10" s="370"/>
      <c r="R10" s="370" t="str">
        <f>IF(AND('Mapa final'!$H$44="Muy Alta",'Mapa final'!$L$44="Menor"),CONCATENATE("R",'Mapa final'!$A$44),"")</f>
        <v/>
      </c>
      <c r="S10" s="370"/>
      <c r="T10" s="370" t="str">
        <f>IF(AND('Mapa final'!$H$50="Muy Alta",'Mapa final'!$L$50="Menor"),CONCATENATE("R",'Mapa final'!$A$50),"")</f>
        <v/>
      </c>
      <c r="U10" s="371"/>
      <c r="V10" s="374" t="str">
        <f>IF(AND('Mapa final'!$H$38="Muy Alta",'Mapa final'!$L$38="Moderado"),CONCATENATE("R",'Mapa final'!$A$38),"")</f>
        <v/>
      </c>
      <c r="W10" s="370"/>
      <c r="X10" s="370" t="str">
        <f>IF(AND('Mapa final'!$H$44="Muy Alta",'Mapa final'!$L$44="Moderado"),CONCATENATE("R",'Mapa final'!$A$44),"")</f>
        <v/>
      </c>
      <c r="Y10" s="370"/>
      <c r="Z10" s="370" t="str">
        <f>IF(AND('Mapa final'!$H$50="Muy Alta",'Mapa final'!$L$50="Moderado"),CONCATENATE("R",'Mapa final'!$A$50),"")</f>
        <v/>
      </c>
      <c r="AA10" s="371"/>
      <c r="AB10" s="374" t="str">
        <f>IF(AND('Mapa final'!$H$38="Muy Alta",'Mapa final'!$L$38="Mayor"),CONCATENATE("R",'Mapa final'!$A$38),"")</f>
        <v/>
      </c>
      <c r="AC10" s="370"/>
      <c r="AD10" s="370" t="str">
        <f>IF(AND('Mapa final'!$H$44="Muy Alta",'Mapa final'!$L$44="Mayor"),CONCATENATE("R",'Mapa final'!$A$44),"")</f>
        <v/>
      </c>
      <c r="AE10" s="370"/>
      <c r="AF10" s="370" t="str">
        <f>IF(AND('Mapa final'!$H$50="Muy Alta",'Mapa final'!$L$50="Mayor"),CONCATENATE("R",'Mapa final'!$A$50),"")</f>
        <v/>
      </c>
      <c r="AG10" s="371"/>
      <c r="AH10" s="380" t="str">
        <f>IF(AND('Mapa final'!$H$38="Muy Alta",'Mapa final'!$L$38="Catastrófico"),CONCATENATE("R",'Mapa final'!$A$38),"")</f>
        <v/>
      </c>
      <c r="AI10" s="381"/>
      <c r="AJ10" s="381" t="str">
        <f>IF(AND('Mapa final'!$H$44="Muy Alta",'Mapa final'!$L$44="Catastrófico"),CONCATENATE("R",'Mapa final'!$A$44),"")</f>
        <v/>
      </c>
      <c r="AK10" s="381"/>
      <c r="AL10" s="381" t="str">
        <f>IF(AND('Mapa final'!$H$50="Muy Alta",'Mapa final'!$L$50="Catastrófico"),CONCATENATE("R",'Mapa final'!$A$50),"")</f>
        <v/>
      </c>
      <c r="AM10" s="382"/>
      <c r="AN10" s="80"/>
      <c r="AO10" s="328"/>
      <c r="AP10" s="329"/>
      <c r="AQ10" s="329"/>
      <c r="AR10" s="329"/>
      <c r="AS10" s="329"/>
      <c r="AT10" s="33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301"/>
      <c r="C11" s="301"/>
      <c r="D11" s="302"/>
      <c r="E11" s="364"/>
      <c r="F11" s="365"/>
      <c r="G11" s="365"/>
      <c r="H11" s="365"/>
      <c r="I11" s="366"/>
      <c r="J11" s="374"/>
      <c r="K11" s="370"/>
      <c r="L11" s="370"/>
      <c r="M11" s="370"/>
      <c r="N11" s="370"/>
      <c r="O11" s="371"/>
      <c r="P11" s="374"/>
      <c r="Q11" s="370"/>
      <c r="R11" s="370"/>
      <c r="S11" s="370"/>
      <c r="T11" s="370"/>
      <c r="U11" s="371"/>
      <c r="V11" s="374"/>
      <c r="W11" s="370"/>
      <c r="X11" s="370"/>
      <c r="Y11" s="370"/>
      <c r="Z11" s="370"/>
      <c r="AA11" s="371"/>
      <c r="AB11" s="374"/>
      <c r="AC11" s="370"/>
      <c r="AD11" s="370"/>
      <c r="AE11" s="370"/>
      <c r="AF11" s="370"/>
      <c r="AG11" s="371"/>
      <c r="AH11" s="380"/>
      <c r="AI11" s="381"/>
      <c r="AJ11" s="381"/>
      <c r="AK11" s="381"/>
      <c r="AL11" s="381"/>
      <c r="AM11" s="382"/>
      <c r="AN11" s="80"/>
      <c r="AO11" s="328"/>
      <c r="AP11" s="329"/>
      <c r="AQ11" s="329"/>
      <c r="AR11" s="329"/>
      <c r="AS11" s="329"/>
      <c r="AT11" s="33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301"/>
      <c r="C12" s="301"/>
      <c r="D12" s="302"/>
      <c r="E12" s="364"/>
      <c r="F12" s="365"/>
      <c r="G12" s="365"/>
      <c r="H12" s="365"/>
      <c r="I12" s="366"/>
      <c r="J12" s="374" t="str">
        <f>IF(AND('Mapa final'!$H$56="Muy Alta",'Mapa final'!$L$56="Leve"),CONCATENATE("R",'Mapa final'!$A$56),"")</f>
        <v/>
      </c>
      <c r="K12" s="370"/>
      <c r="L12" s="370" t="str">
        <f>IF(AND('Mapa final'!$H$62="Muy Alta",'Mapa final'!$L$62="Leve"),CONCATENATE("R",'Mapa final'!$A$62),"")</f>
        <v/>
      </c>
      <c r="M12" s="370"/>
      <c r="N12" s="370" t="str">
        <f>IF(AND('Mapa final'!$H$68="Muy Alta",'Mapa final'!$L$68="Leve"),CONCATENATE("R",'Mapa final'!$A$68),"")</f>
        <v/>
      </c>
      <c r="O12" s="371"/>
      <c r="P12" s="374" t="str">
        <f>IF(AND('Mapa final'!$H$56="Muy Alta",'Mapa final'!$L$56="Menor"),CONCATENATE("R",'Mapa final'!$A$56),"")</f>
        <v/>
      </c>
      <c r="Q12" s="370"/>
      <c r="R12" s="370" t="str">
        <f>IF(AND('Mapa final'!$H$62="Muy Alta",'Mapa final'!$L$62="Menor"),CONCATENATE("R",'Mapa final'!$A$62),"")</f>
        <v/>
      </c>
      <c r="S12" s="370"/>
      <c r="T12" s="370" t="str">
        <f>IF(AND('Mapa final'!$H$68="Muy Alta",'Mapa final'!$L$68="Menor"),CONCATENATE("R",'Mapa final'!$A$68),"")</f>
        <v/>
      </c>
      <c r="U12" s="371"/>
      <c r="V12" s="374" t="str">
        <f>IF(AND('Mapa final'!$H$56="Muy Alta",'Mapa final'!$L$56="Moderado"),CONCATENATE("R",'Mapa final'!$A$56),"")</f>
        <v/>
      </c>
      <c r="W12" s="370"/>
      <c r="X12" s="370" t="str">
        <f>IF(AND('Mapa final'!$H$62="Muy Alta",'Mapa final'!$L$62="Moderado"),CONCATENATE("R",'Mapa final'!$A$62),"")</f>
        <v/>
      </c>
      <c r="Y12" s="370"/>
      <c r="Z12" s="370" t="str">
        <f>IF(AND('Mapa final'!$H$68="Muy Alta",'Mapa final'!$L$68="Moderado"),CONCATENATE("R",'Mapa final'!$A$68),"")</f>
        <v/>
      </c>
      <c r="AA12" s="371"/>
      <c r="AB12" s="374" t="str">
        <f>IF(AND('Mapa final'!$H$56="Muy Alta",'Mapa final'!$L$56="Mayor"),CONCATENATE("R",'Mapa final'!$A$56),"")</f>
        <v/>
      </c>
      <c r="AC12" s="370"/>
      <c r="AD12" s="370" t="str">
        <f>IF(AND('Mapa final'!$H$62="Muy Alta",'Mapa final'!$L$62="Mayor"),CONCATENATE("R",'Mapa final'!$A$62),"")</f>
        <v/>
      </c>
      <c r="AE12" s="370"/>
      <c r="AF12" s="370" t="str">
        <f>IF(AND('Mapa final'!$H$68="Muy Alta",'Mapa final'!$L$68="Mayor"),CONCATENATE("R",'Mapa final'!$A$68),"")</f>
        <v/>
      </c>
      <c r="AG12" s="371"/>
      <c r="AH12" s="380" t="str">
        <f>IF(AND('Mapa final'!$H$56="Muy Alta",'Mapa final'!$L$56="Catastrófico"),CONCATENATE("R",'Mapa final'!$A$56),"")</f>
        <v/>
      </c>
      <c r="AI12" s="381"/>
      <c r="AJ12" s="381" t="str">
        <f>IF(AND('Mapa final'!$H$62="Muy Alta",'Mapa final'!$L$62="Catastrófico"),CONCATENATE("R",'Mapa final'!$A$62),"")</f>
        <v/>
      </c>
      <c r="AK12" s="381"/>
      <c r="AL12" s="381" t="str">
        <f>IF(AND('Mapa final'!$H$68="Muy Alta",'Mapa final'!$L$68="Catastrófico"),CONCATENATE("R",'Mapa final'!$A$68),"")</f>
        <v/>
      </c>
      <c r="AM12" s="382"/>
      <c r="AN12" s="80"/>
      <c r="AO12" s="328"/>
      <c r="AP12" s="329"/>
      <c r="AQ12" s="329"/>
      <c r="AR12" s="329"/>
      <c r="AS12" s="329"/>
      <c r="AT12" s="33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301"/>
      <c r="C13" s="301"/>
      <c r="D13" s="302"/>
      <c r="E13" s="367"/>
      <c r="F13" s="368"/>
      <c r="G13" s="368"/>
      <c r="H13" s="368"/>
      <c r="I13" s="369"/>
      <c r="J13" s="374"/>
      <c r="K13" s="370"/>
      <c r="L13" s="370"/>
      <c r="M13" s="370"/>
      <c r="N13" s="370"/>
      <c r="O13" s="371"/>
      <c r="P13" s="374"/>
      <c r="Q13" s="370"/>
      <c r="R13" s="370"/>
      <c r="S13" s="370"/>
      <c r="T13" s="370"/>
      <c r="U13" s="371"/>
      <c r="V13" s="374"/>
      <c r="W13" s="370"/>
      <c r="X13" s="370"/>
      <c r="Y13" s="370"/>
      <c r="Z13" s="370"/>
      <c r="AA13" s="371"/>
      <c r="AB13" s="374"/>
      <c r="AC13" s="370"/>
      <c r="AD13" s="370"/>
      <c r="AE13" s="370"/>
      <c r="AF13" s="370"/>
      <c r="AG13" s="371"/>
      <c r="AH13" s="383"/>
      <c r="AI13" s="384"/>
      <c r="AJ13" s="384"/>
      <c r="AK13" s="384"/>
      <c r="AL13" s="384"/>
      <c r="AM13" s="385"/>
      <c r="AN13" s="80"/>
      <c r="AO13" s="331"/>
      <c r="AP13" s="332"/>
      <c r="AQ13" s="332"/>
      <c r="AR13" s="332"/>
      <c r="AS13" s="332"/>
      <c r="AT13" s="333"/>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301"/>
      <c r="C14" s="301"/>
      <c r="D14" s="302"/>
      <c r="E14" s="361" t="s">
        <v>115</v>
      </c>
      <c r="F14" s="362"/>
      <c r="G14" s="362"/>
      <c r="H14" s="362"/>
      <c r="I14" s="362"/>
      <c r="J14" s="395" t="str">
        <f>IF(AND('Mapa final'!$H$10="Alta",'Mapa final'!$L$10="Leve"),CONCATENATE("R",'Mapa final'!$A$10),"")</f>
        <v/>
      </c>
      <c r="K14" s="396"/>
      <c r="L14" s="396" t="str">
        <f>IF(AND('Mapa final'!$H$16="Alta",'Mapa final'!$L$16="Leve"),CONCATENATE("R",'Mapa final'!$A$16),"")</f>
        <v/>
      </c>
      <c r="M14" s="396"/>
      <c r="N14" s="396" t="str">
        <f>IF(AND('Mapa final'!$H$22="Alta",'Mapa final'!$L$22="Leve"),CONCATENATE("R",'Mapa final'!$A$22),"")</f>
        <v/>
      </c>
      <c r="O14" s="397"/>
      <c r="P14" s="395" t="str">
        <f>IF(AND('Mapa final'!$H$10="Alta",'Mapa final'!$L$10="Menor"),CONCATENATE("R",'Mapa final'!$A$10),"")</f>
        <v/>
      </c>
      <c r="Q14" s="396"/>
      <c r="R14" s="396" t="str">
        <f>IF(AND('Mapa final'!$H$16="Alta",'Mapa final'!$L$16="Menor"),CONCATENATE("R",'Mapa final'!$A$16),"")</f>
        <v/>
      </c>
      <c r="S14" s="396"/>
      <c r="T14" s="396" t="str">
        <f>IF(AND('Mapa final'!$H$22="Alta",'Mapa final'!$L$22="Menor"),CONCATENATE("R",'Mapa final'!$A$22),"")</f>
        <v/>
      </c>
      <c r="U14" s="397"/>
      <c r="V14" s="372" t="str">
        <f>IF(AND('Mapa final'!$H$10="Alta",'Mapa final'!$L$10="Moderado"),CONCATENATE("R",'Mapa final'!$A$10),"")</f>
        <v/>
      </c>
      <c r="W14" s="373"/>
      <c r="X14" s="373" t="str">
        <f>IF(AND('Mapa final'!$H$16="Alta",'Mapa final'!$L$16="Moderado"),CONCATENATE("R",'Mapa final'!$A$16),"")</f>
        <v/>
      </c>
      <c r="Y14" s="373"/>
      <c r="Z14" s="373" t="str">
        <f>IF(AND('Mapa final'!$H$22="Alta",'Mapa final'!$L$22="Moderado"),CONCATENATE("R",'Mapa final'!$A$22),"")</f>
        <v/>
      </c>
      <c r="AA14" s="375"/>
      <c r="AB14" s="372" t="str">
        <f>IF(AND('Mapa final'!$H$10="Alta",'Mapa final'!$L$10="Mayor"),CONCATENATE("R",'Mapa final'!$A$10),"")</f>
        <v/>
      </c>
      <c r="AC14" s="373"/>
      <c r="AD14" s="373" t="str">
        <f>IF(AND('Mapa final'!$H$16="Alta",'Mapa final'!$L$16="Mayor"),CONCATENATE("R",'Mapa final'!$A$16),"")</f>
        <v/>
      </c>
      <c r="AE14" s="373"/>
      <c r="AF14" s="373" t="str">
        <f>IF(AND('Mapa final'!$H$22="Alta",'Mapa final'!$L$22="Mayor"),CONCATENATE("R",'Mapa final'!$A$22),"")</f>
        <v/>
      </c>
      <c r="AG14" s="375"/>
      <c r="AH14" s="386" t="str">
        <f>IF(AND('Mapa final'!$H$10="Alta",'Mapa final'!$L$10="Catastrófico"),CONCATENATE("R",'Mapa final'!$A$10),"")</f>
        <v/>
      </c>
      <c r="AI14" s="387"/>
      <c r="AJ14" s="387" t="str">
        <f>IF(AND('Mapa final'!$H$16="Alta",'Mapa final'!$L$16="Catastrófico"),CONCATENATE("R",'Mapa final'!$A$16),"")</f>
        <v/>
      </c>
      <c r="AK14" s="387"/>
      <c r="AL14" s="387" t="str">
        <f>IF(AND('Mapa final'!$H$22="Alta",'Mapa final'!$L$22="Catastrófico"),CONCATENATE("R",'Mapa final'!$A$22),"")</f>
        <v/>
      </c>
      <c r="AM14" s="388"/>
      <c r="AN14" s="80"/>
      <c r="AO14" s="334" t="s">
        <v>80</v>
      </c>
      <c r="AP14" s="335"/>
      <c r="AQ14" s="335"/>
      <c r="AR14" s="335"/>
      <c r="AS14" s="335"/>
      <c r="AT14" s="336"/>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301"/>
      <c r="C15" s="301"/>
      <c r="D15" s="302"/>
      <c r="E15" s="364"/>
      <c r="F15" s="365"/>
      <c r="G15" s="365"/>
      <c r="H15" s="365"/>
      <c r="I15" s="365"/>
      <c r="J15" s="389"/>
      <c r="K15" s="390"/>
      <c r="L15" s="390"/>
      <c r="M15" s="390"/>
      <c r="N15" s="390"/>
      <c r="O15" s="391"/>
      <c r="P15" s="389"/>
      <c r="Q15" s="390"/>
      <c r="R15" s="390"/>
      <c r="S15" s="390"/>
      <c r="T15" s="390"/>
      <c r="U15" s="391"/>
      <c r="V15" s="374"/>
      <c r="W15" s="370"/>
      <c r="X15" s="370"/>
      <c r="Y15" s="370"/>
      <c r="Z15" s="370"/>
      <c r="AA15" s="371"/>
      <c r="AB15" s="374"/>
      <c r="AC15" s="370"/>
      <c r="AD15" s="370"/>
      <c r="AE15" s="370"/>
      <c r="AF15" s="370"/>
      <c r="AG15" s="371"/>
      <c r="AH15" s="380"/>
      <c r="AI15" s="381"/>
      <c r="AJ15" s="381"/>
      <c r="AK15" s="381"/>
      <c r="AL15" s="381"/>
      <c r="AM15" s="382"/>
      <c r="AN15" s="80"/>
      <c r="AO15" s="337"/>
      <c r="AP15" s="338"/>
      <c r="AQ15" s="338"/>
      <c r="AR15" s="338"/>
      <c r="AS15" s="338"/>
      <c r="AT15" s="339"/>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301"/>
      <c r="C16" s="301"/>
      <c r="D16" s="302"/>
      <c r="E16" s="364"/>
      <c r="F16" s="365"/>
      <c r="G16" s="365"/>
      <c r="H16" s="365"/>
      <c r="I16" s="365"/>
      <c r="J16" s="389" t="str">
        <f>IF(AND('Mapa final'!$H$27="Alta",'Mapa final'!$L$27="Leve"),CONCATENATE("R",'Mapa final'!$A$27),"")</f>
        <v/>
      </c>
      <c r="K16" s="390"/>
      <c r="L16" s="390" t="str">
        <f>IF(AND('Mapa final'!$H$32="Alta",'Mapa final'!$L$32="Leve"),CONCATENATE("R",'Mapa final'!$A$32),"")</f>
        <v/>
      </c>
      <c r="M16" s="390"/>
      <c r="N16" s="390" t="e">
        <f>IF(AND('Mapa final'!#REF!="Alta",'Mapa final'!#REF!="Leve"),CONCATENATE("R",'Mapa final'!#REF!),"")</f>
        <v>#REF!</v>
      </c>
      <c r="O16" s="391"/>
      <c r="P16" s="389" t="str">
        <f>IF(AND('Mapa final'!$H$27="Alta",'Mapa final'!$L$27="Menor"),CONCATENATE("R",'Mapa final'!$A$27),"")</f>
        <v/>
      </c>
      <c r="Q16" s="390"/>
      <c r="R16" s="390" t="str">
        <f>IF(AND('Mapa final'!$H$32="Alta",'Mapa final'!$L$32="Menor"),CONCATENATE("R",'Mapa final'!$A$32),"")</f>
        <v/>
      </c>
      <c r="S16" s="390"/>
      <c r="T16" s="390" t="e">
        <f>IF(AND('Mapa final'!#REF!="Alta",'Mapa final'!#REF!="Menor"),CONCATENATE("R",'Mapa final'!#REF!),"")</f>
        <v>#REF!</v>
      </c>
      <c r="U16" s="391"/>
      <c r="V16" s="374" t="str">
        <f>IF(AND('Mapa final'!$H$27="Alta",'Mapa final'!$L$27="Moderado"),CONCATENATE("R",'Mapa final'!$A$27),"")</f>
        <v/>
      </c>
      <c r="W16" s="370"/>
      <c r="X16" s="370" t="str">
        <f>IF(AND('Mapa final'!$H$32="Alta",'Mapa final'!$L$32="Moderado"),CONCATENATE("R",'Mapa final'!$A$32),"")</f>
        <v/>
      </c>
      <c r="Y16" s="370"/>
      <c r="Z16" s="370" t="e">
        <f>IF(AND('Mapa final'!#REF!="Alta",'Mapa final'!#REF!="Moderado"),CONCATENATE("R",'Mapa final'!#REF!),"")</f>
        <v>#REF!</v>
      </c>
      <c r="AA16" s="371"/>
      <c r="AB16" s="374" t="str">
        <f>IF(AND('Mapa final'!$H$27="Alta",'Mapa final'!$L$27="Mayor"),CONCATENATE("R",'Mapa final'!$A$27),"")</f>
        <v/>
      </c>
      <c r="AC16" s="370"/>
      <c r="AD16" s="370" t="str">
        <f>IF(AND('Mapa final'!$H$32="Alta",'Mapa final'!$L$32="Mayor"),CONCATENATE("R",'Mapa final'!$A$32),"")</f>
        <v/>
      </c>
      <c r="AE16" s="370"/>
      <c r="AF16" s="370" t="e">
        <f>IF(AND('Mapa final'!#REF!="Alta",'Mapa final'!#REF!="Mayor"),CONCATENATE("R",'Mapa final'!#REF!),"")</f>
        <v>#REF!</v>
      </c>
      <c r="AG16" s="371"/>
      <c r="AH16" s="380" t="str">
        <f>IF(AND('Mapa final'!$H$27="Alta",'Mapa final'!$L$27="Catastrófico"),CONCATENATE("R",'Mapa final'!$A$27),"")</f>
        <v/>
      </c>
      <c r="AI16" s="381"/>
      <c r="AJ16" s="381" t="str">
        <f>IF(AND('Mapa final'!$H$32="Alta",'Mapa final'!$L$32="Catastrófico"),CONCATENATE("R",'Mapa final'!$A$32),"")</f>
        <v/>
      </c>
      <c r="AK16" s="381"/>
      <c r="AL16" s="381" t="e">
        <f>IF(AND('Mapa final'!#REF!="Alta",'Mapa final'!#REF!="Catastrófico"),CONCATENATE("R",'Mapa final'!#REF!),"")</f>
        <v>#REF!</v>
      </c>
      <c r="AM16" s="382"/>
      <c r="AN16" s="80"/>
      <c r="AO16" s="337"/>
      <c r="AP16" s="338"/>
      <c r="AQ16" s="338"/>
      <c r="AR16" s="338"/>
      <c r="AS16" s="338"/>
      <c r="AT16" s="339"/>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301"/>
      <c r="C17" s="301"/>
      <c r="D17" s="302"/>
      <c r="E17" s="364"/>
      <c r="F17" s="365"/>
      <c r="G17" s="365"/>
      <c r="H17" s="365"/>
      <c r="I17" s="365"/>
      <c r="J17" s="389"/>
      <c r="K17" s="390"/>
      <c r="L17" s="390"/>
      <c r="M17" s="390"/>
      <c r="N17" s="390"/>
      <c r="O17" s="391"/>
      <c r="P17" s="389"/>
      <c r="Q17" s="390"/>
      <c r="R17" s="390"/>
      <c r="S17" s="390"/>
      <c r="T17" s="390"/>
      <c r="U17" s="391"/>
      <c r="V17" s="374"/>
      <c r="W17" s="370"/>
      <c r="X17" s="370"/>
      <c r="Y17" s="370"/>
      <c r="Z17" s="370"/>
      <c r="AA17" s="371"/>
      <c r="AB17" s="374"/>
      <c r="AC17" s="370"/>
      <c r="AD17" s="370"/>
      <c r="AE17" s="370"/>
      <c r="AF17" s="370"/>
      <c r="AG17" s="371"/>
      <c r="AH17" s="380"/>
      <c r="AI17" s="381"/>
      <c r="AJ17" s="381"/>
      <c r="AK17" s="381"/>
      <c r="AL17" s="381"/>
      <c r="AM17" s="382"/>
      <c r="AN17" s="80"/>
      <c r="AO17" s="337"/>
      <c r="AP17" s="338"/>
      <c r="AQ17" s="338"/>
      <c r="AR17" s="338"/>
      <c r="AS17" s="338"/>
      <c r="AT17" s="339"/>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301"/>
      <c r="C18" s="301"/>
      <c r="D18" s="302"/>
      <c r="E18" s="364"/>
      <c r="F18" s="365"/>
      <c r="G18" s="365"/>
      <c r="H18" s="365"/>
      <c r="I18" s="365"/>
      <c r="J18" s="389" t="str">
        <f>IF(AND('Mapa final'!$H$38="Alta",'Mapa final'!$L$38="Leve"),CONCATENATE("R",'Mapa final'!$A$38),"")</f>
        <v/>
      </c>
      <c r="K18" s="390"/>
      <c r="L18" s="390" t="str">
        <f>IF(AND('Mapa final'!$H$44="Alta",'Mapa final'!$L$44="Leve"),CONCATENATE("R",'Mapa final'!$A$44),"")</f>
        <v/>
      </c>
      <c r="M18" s="390"/>
      <c r="N18" s="390" t="str">
        <f>IF(AND('Mapa final'!$H$50="Alta",'Mapa final'!$L$50="Leve"),CONCATENATE("R",'Mapa final'!$A$50),"")</f>
        <v/>
      </c>
      <c r="O18" s="391"/>
      <c r="P18" s="389" t="str">
        <f>IF(AND('Mapa final'!$H$38="Alta",'Mapa final'!$L$38="Menor"),CONCATENATE("R",'Mapa final'!$A$38),"")</f>
        <v/>
      </c>
      <c r="Q18" s="390"/>
      <c r="R18" s="390" t="str">
        <f>IF(AND('Mapa final'!$H$44="Alta",'Mapa final'!$L$44="Menor"),CONCATENATE("R",'Mapa final'!$A$44),"")</f>
        <v/>
      </c>
      <c r="S18" s="390"/>
      <c r="T18" s="390" t="str">
        <f>IF(AND('Mapa final'!$H$50="Alta",'Mapa final'!$L$50="Menor"),CONCATENATE("R",'Mapa final'!$A$50),"")</f>
        <v/>
      </c>
      <c r="U18" s="391"/>
      <c r="V18" s="374" t="str">
        <f>IF(AND('Mapa final'!$H$38="Alta",'Mapa final'!$L$38="Moderado"),CONCATENATE("R",'Mapa final'!$A$38),"")</f>
        <v/>
      </c>
      <c r="W18" s="370"/>
      <c r="X18" s="370" t="str">
        <f>IF(AND('Mapa final'!$H$44="Alta",'Mapa final'!$L$44="Moderado"),CONCATENATE("R",'Mapa final'!$A$44),"")</f>
        <v/>
      </c>
      <c r="Y18" s="370"/>
      <c r="Z18" s="370" t="str">
        <f>IF(AND('Mapa final'!$H$50="Alta",'Mapa final'!$L$50="Moderado"),CONCATENATE("R",'Mapa final'!$A$50),"")</f>
        <v/>
      </c>
      <c r="AA18" s="371"/>
      <c r="AB18" s="374" t="str">
        <f>IF(AND('Mapa final'!$H$38="Alta",'Mapa final'!$L$38="Mayor"),CONCATENATE("R",'Mapa final'!$A$38),"")</f>
        <v/>
      </c>
      <c r="AC18" s="370"/>
      <c r="AD18" s="370" t="str">
        <f>IF(AND('Mapa final'!$H$44="Alta",'Mapa final'!$L$44="Mayor"),CONCATENATE("R",'Mapa final'!$A$44),"")</f>
        <v/>
      </c>
      <c r="AE18" s="370"/>
      <c r="AF18" s="370" t="str">
        <f>IF(AND('Mapa final'!$H$50="Alta",'Mapa final'!$L$50="Mayor"),CONCATENATE("R",'Mapa final'!$A$50),"")</f>
        <v/>
      </c>
      <c r="AG18" s="371"/>
      <c r="AH18" s="380" t="str">
        <f>IF(AND('Mapa final'!$H$38="Alta",'Mapa final'!$L$38="Catastrófico"),CONCATENATE("R",'Mapa final'!$A$38),"")</f>
        <v/>
      </c>
      <c r="AI18" s="381"/>
      <c r="AJ18" s="381" t="str">
        <f>IF(AND('Mapa final'!$H$44="Alta",'Mapa final'!$L$44="Catastrófico"),CONCATENATE("R",'Mapa final'!$A$44),"")</f>
        <v/>
      </c>
      <c r="AK18" s="381"/>
      <c r="AL18" s="381" t="str">
        <f>IF(AND('Mapa final'!$H$50="Alta",'Mapa final'!$L$50="Catastrófico"),CONCATENATE("R",'Mapa final'!$A$50),"")</f>
        <v/>
      </c>
      <c r="AM18" s="382"/>
      <c r="AN18" s="80"/>
      <c r="AO18" s="337"/>
      <c r="AP18" s="338"/>
      <c r="AQ18" s="338"/>
      <c r="AR18" s="338"/>
      <c r="AS18" s="338"/>
      <c r="AT18" s="339"/>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301"/>
      <c r="C19" s="301"/>
      <c r="D19" s="302"/>
      <c r="E19" s="364"/>
      <c r="F19" s="365"/>
      <c r="G19" s="365"/>
      <c r="H19" s="365"/>
      <c r="I19" s="365"/>
      <c r="J19" s="389"/>
      <c r="K19" s="390"/>
      <c r="L19" s="390"/>
      <c r="M19" s="390"/>
      <c r="N19" s="390"/>
      <c r="O19" s="391"/>
      <c r="P19" s="389"/>
      <c r="Q19" s="390"/>
      <c r="R19" s="390"/>
      <c r="S19" s="390"/>
      <c r="T19" s="390"/>
      <c r="U19" s="391"/>
      <c r="V19" s="374"/>
      <c r="W19" s="370"/>
      <c r="X19" s="370"/>
      <c r="Y19" s="370"/>
      <c r="Z19" s="370"/>
      <c r="AA19" s="371"/>
      <c r="AB19" s="374"/>
      <c r="AC19" s="370"/>
      <c r="AD19" s="370"/>
      <c r="AE19" s="370"/>
      <c r="AF19" s="370"/>
      <c r="AG19" s="371"/>
      <c r="AH19" s="380"/>
      <c r="AI19" s="381"/>
      <c r="AJ19" s="381"/>
      <c r="AK19" s="381"/>
      <c r="AL19" s="381"/>
      <c r="AM19" s="382"/>
      <c r="AN19" s="80"/>
      <c r="AO19" s="337"/>
      <c r="AP19" s="338"/>
      <c r="AQ19" s="338"/>
      <c r="AR19" s="338"/>
      <c r="AS19" s="338"/>
      <c r="AT19" s="339"/>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301"/>
      <c r="C20" s="301"/>
      <c r="D20" s="302"/>
      <c r="E20" s="364"/>
      <c r="F20" s="365"/>
      <c r="G20" s="365"/>
      <c r="H20" s="365"/>
      <c r="I20" s="365"/>
      <c r="J20" s="389" t="str">
        <f>IF(AND('Mapa final'!$H$56="Alta",'Mapa final'!$L$56="Leve"),CONCATENATE("R",'Mapa final'!$A$56),"")</f>
        <v/>
      </c>
      <c r="K20" s="390"/>
      <c r="L20" s="390" t="str">
        <f>IF(AND('Mapa final'!$H$62="Alta",'Mapa final'!$L$62="Leve"),CONCATENATE("R",'Mapa final'!$A$62),"")</f>
        <v/>
      </c>
      <c r="M20" s="390"/>
      <c r="N20" s="390" t="str">
        <f>IF(AND('Mapa final'!$H$68="Alta",'Mapa final'!$L$68="Leve"),CONCATENATE("R",'Mapa final'!$A$68),"")</f>
        <v/>
      </c>
      <c r="O20" s="391"/>
      <c r="P20" s="389" t="str">
        <f>IF(AND('Mapa final'!$H$56="Alta",'Mapa final'!$L$56="Menor"),CONCATENATE("R",'Mapa final'!$A$56),"")</f>
        <v/>
      </c>
      <c r="Q20" s="390"/>
      <c r="R20" s="390" t="str">
        <f>IF(AND('Mapa final'!$H$62="Alta",'Mapa final'!$L$62="Menor"),CONCATENATE("R",'Mapa final'!$A$62),"")</f>
        <v/>
      </c>
      <c r="S20" s="390"/>
      <c r="T20" s="390" t="str">
        <f>IF(AND('Mapa final'!$H$68="Alta",'Mapa final'!$L$68="Menor"),CONCATENATE("R",'Mapa final'!$A$68),"")</f>
        <v/>
      </c>
      <c r="U20" s="391"/>
      <c r="V20" s="374" t="str">
        <f>IF(AND('Mapa final'!$H$56="Alta",'Mapa final'!$L$56="Moderado"),CONCATENATE("R",'Mapa final'!$A$56),"")</f>
        <v/>
      </c>
      <c r="W20" s="370"/>
      <c r="X20" s="370" t="str">
        <f>IF(AND('Mapa final'!$H$62="Alta",'Mapa final'!$L$62="Moderado"),CONCATENATE("R",'Mapa final'!$A$62),"")</f>
        <v/>
      </c>
      <c r="Y20" s="370"/>
      <c r="Z20" s="370" t="str">
        <f>IF(AND('Mapa final'!$H$68="Alta",'Mapa final'!$L$68="Moderado"),CONCATENATE("R",'Mapa final'!$A$68),"")</f>
        <v/>
      </c>
      <c r="AA20" s="371"/>
      <c r="AB20" s="374" t="str">
        <f>IF(AND('Mapa final'!$H$56="Alta",'Mapa final'!$L$56="Mayor"),CONCATENATE("R",'Mapa final'!$A$56),"")</f>
        <v/>
      </c>
      <c r="AC20" s="370"/>
      <c r="AD20" s="370" t="str">
        <f>IF(AND('Mapa final'!$H$62="Alta",'Mapa final'!$L$62="Mayor"),CONCATENATE("R",'Mapa final'!$A$62),"")</f>
        <v/>
      </c>
      <c r="AE20" s="370"/>
      <c r="AF20" s="370" t="str">
        <f>IF(AND('Mapa final'!$H$68="Alta",'Mapa final'!$L$68="Mayor"),CONCATENATE("R",'Mapa final'!$A$68),"")</f>
        <v/>
      </c>
      <c r="AG20" s="371"/>
      <c r="AH20" s="380" t="str">
        <f>IF(AND('Mapa final'!$H$56="Alta",'Mapa final'!$L$56="Catastrófico"),CONCATENATE("R",'Mapa final'!$A$56),"")</f>
        <v/>
      </c>
      <c r="AI20" s="381"/>
      <c r="AJ20" s="381" t="str">
        <f>IF(AND('Mapa final'!$H$62="Alta",'Mapa final'!$L$62="Catastrófico"),CONCATENATE("R",'Mapa final'!$A$62),"")</f>
        <v/>
      </c>
      <c r="AK20" s="381"/>
      <c r="AL20" s="381" t="str">
        <f>IF(AND('Mapa final'!$H$68="Alta",'Mapa final'!$L$68="Catastrófico"),CONCATENATE("R",'Mapa final'!$A$68),"")</f>
        <v/>
      </c>
      <c r="AM20" s="382"/>
      <c r="AN20" s="80"/>
      <c r="AO20" s="337"/>
      <c r="AP20" s="338"/>
      <c r="AQ20" s="338"/>
      <c r="AR20" s="338"/>
      <c r="AS20" s="338"/>
      <c r="AT20" s="339"/>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301"/>
      <c r="C21" s="301"/>
      <c r="D21" s="302"/>
      <c r="E21" s="367"/>
      <c r="F21" s="368"/>
      <c r="G21" s="368"/>
      <c r="H21" s="368"/>
      <c r="I21" s="368"/>
      <c r="J21" s="392"/>
      <c r="K21" s="393"/>
      <c r="L21" s="393"/>
      <c r="M21" s="393"/>
      <c r="N21" s="393"/>
      <c r="O21" s="394"/>
      <c r="P21" s="392"/>
      <c r="Q21" s="393"/>
      <c r="R21" s="393"/>
      <c r="S21" s="393"/>
      <c r="T21" s="393"/>
      <c r="U21" s="394"/>
      <c r="V21" s="377"/>
      <c r="W21" s="378"/>
      <c r="X21" s="378"/>
      <c r="Y21" s="378"/>
      <c r="Z21" s="378"/>
      <c r="AA21" s="379"/>
      <c r="AB21" s="377"/>
      <c r="AC21" s="378"/>
      <c r="AD21" s="378"/>
      <c r="AE21" s="378"/>
      <c r="AF21" s="378"/>
      <c r="AG21" s="379"/>
      <c r="AH21" s="383"/>
      <c r="AI21" s="384"/>
      <c r="AJ21" s="384"/>
      <c r="AK21" s="384"/>
      <c r="AL21" s="384"/>
      <c r="AM21" s="385"/>
      <c r="AN21" s="80"/>
      <c r="AO21" s="340"/>
      <c r="AP21" s="341"/>
      <c r="AQ21" s="341"/>
      <c r="AR21" s="341"/>
      <c r="AS21" s="341"/>
      <c r="AT21" s="342"/>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301"/>
      <c r="C22" s="301"/>
      <c r="D22" s="302"/>
      <c r="E22" s="361" t="s">
        <v>117</v>
      </c>
      <c r="F22" s="362"/>
      <c r="G22" s="362"/>
      <c r="H22" s="362"/>
      <c r="I22" s="363"/>
      <c r="J22" s="395" t="str">
        <f>IF(AND('Mapa final'!$H$10="Media",'Mapa final'!$L$10="Leve"),CONCATENATE("R",'Mapa final'!$A$10),"")</f>
        <v/>
      </c>
      <c r="K22" s="396"/>
      <c r="L22" s="396" t="str">
        <f>IF(AND('Mapa final'!$H$16="Media",'Mapa final'!$L$16="Leve"),CONCATENATE("R",'Mapa final'!$A$16),"")</f>
        <v/>
      </c>
      <c r="M22" s="396"/>
      <c r="N22" s="396" t="str">
        <f>IF(AND('Mapa final'!$H$22="Media",'Mapa final'!$L$22="Leve"),CONCATENATE("R",'Mapa final'!$A$22),"")</f>
        <v/>
      </c>
      <c r="O22" s="397"/>
      <c r="P22" s="395" t="str">
        <f>IF(AND('Mapa final'!$H$10="Media",'Mapa final'!$L$10="Menor"),CONCATENATE("R",'Mapa final'!$A$10),"")</f>
        <v/>
      </c>
      <c r="Q22" s="396"/>
      <c r="R22" s="396" t="str">
        <f>IF(AND('Mapa final'!$H$16="Media",'Mapa final'!$L$16="Menor"),CONCATENATE("R",'Mapa final'!$A$16),"")</f>
        <v/>
      </c>
      <c r="S22" s="396"/>
      <c r="T22" s="396" t="str">
        <f>IF(AND('Mapa final'!$H$22="Media",'Mapa final'!$L$22="Menor"),CONCATENATE("R",'Mapa final'!$A$22),"")</f>
        <v>R2</v>
      </c>
      <c r="U22" s="397"/>
      <c r="V22" s="395" t="str">
        <f>IF(AND('Mapa final'!$H$10="Media",'Mapa final'!$L$10="Moderado"),CONCATENATE("R",'Mapa final'!$A$10),"")</f>
        <v/>
      </c>
      <c r="W22" s="396"/>
      <c r="X22" s="396" t="str">
        <f>IF(AND('Mapa final'!$H$16="Media",'Mapa final'!$L$16="Moderado"),CONCATENATE("R",'Mapa final'!$A$16),"")</f>
        <v/>
      </c>
      <c r="Y22" s="396"/>
      <c r="Z22" s="396" t="str">
        <f>IF(AND('Mapa final'!$H$22="Media",'Mapa final'!$L$22="Moderado"),CONCATENATE("R",'Mapa final'!$A$22),"")</f>
        <v/>
      </c>
      <c r="AA22" s="397"/>
      <c r="AB22" s="372" t="str">
        <f>IF(AND('Mapa final'!$H$10="Media",'Mapa final'!$L$10="Mayor"),CONCATENATE("R",'Mapa final'!$A$10),"")</f>
        <v/>
      </c>
      <c r="AC22" s="373"/>
      <c r="AD22" s="373" t="str">
        <f>IF(AND('Mapa final'!$H$16="Media",'Mapa final'!$L$16="Mayor"),CONCATENATE("R",'Mapa final'!$A$16),"")</f>
        <v/>
      </c>
      <c r="AE22" s="373"/>
      <c r="AF22" s="373" t="str">
        <f>IF(AND('Mapa final'!$H$22="Media",'Mapa final'!$L$22="Mayor"),CONCATENATE("R",'Mapa final'!$A$22),"")</f>
        <v/>
      </c>
      <c r="AG22" s="375"/>
      <c r="AH22" s="386" t="str">
        <f>IF(AND('Mapa final'!$H$10="Media",'Mapa final'!$L$10="Catastrófico"),CONCATENATE("R",'Mapa final'!$A$10),"")</f>
        <v/>
      </c>
      <c r="AI22" s="387"/>
      <c r="AJ22" s="387" t="str">
        <f>IF(AND('Mapa final'!$H$16="Media",'Mapa final'!$L$16="Catastrófico"),CONCATENATE("R",'Mapa final'!$A$16),"")</f>
        <v/>
      </c>
      <c r="AK22" s="387"/>
      <c r="AL22" s="387" t="str">
        <f>IF(AND('Mapa final'!$H$22="Media",'Mapa final'!$L$22="Catastrófico"),CONCATENATE("R",'Mapa final'!$A$22),"")</f>
        <v/>
      </c>
      <c r="AM22" s="388"/>
      <c r="AN22" s="80"/>
      <c r="AO22" s="343" t="s">
        <v>81</v>
      </c>
      <c r="AP22" s="344"/>
      <c r="AQ22" s="344"/>
      <c r="AR22" s="344"/>
      <c r="AS22" s="344"/>
      <c r="AT22" s="345"/>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301"/>
      <c r="C23" s="301"/>
      <c r="D23" s="302"/>
      <c r="E23" s="364"/>
      <c r="F23" s="365"/>
      <c r="G23" s="365"/>
      <c r="H23" s="365"/>
      <c r="I23" s="366"/>
      <c r="J23" s="389"/>
      <c r="K23" s="390"/>
      <c r="L23" s="390"/>
      <c r="M23" s="390"/>
      <c r="N23" s="390"/>
      <c r="O23" s="391"/>
      <c r="P23" s="389"/>
      <c r="Q23" s="390"/>
      <c r="R23" s="390"/>
      <c r="S23" s="390"/>
      <c r="T23" s="390"/>
      <c r="U23" s="391"/>
      <c r="V23" s="389"/>
      <c r="W23" s="390"/>
      <c r="X23" s="390"/>
      <c r="Y23" s="390"/>
      <c r="Z23" s="390"/>
      <c r="AA23" s="391"/>
      <c r="AB23" s="374"/>
      <c r="AC23" s="370"/>
      <c r="AD23" s="370"/>
      <c r="AE23" s="370"/>
      <c r="AF23" s="370"/>
      <c r="AG23" s="371"/>
      <c r="AH23" s="380"/>
      <c r="AI23" s="381"/>
      <c r="AJ23" s="381"/>
      <c r="AK23" s="381"/>
      <c r="AL23" s="381"/>
      <c r="AM23" s="382"/>
      <c r="AN23" s="80"/>
      <c r="AO23" s="346"/>
      <c r="AP23" s="347"/>
      <c r="AQ23" s="347"/>
      <c r="AR23" s="347"/>
      <c r="AS23" s="347"/>
      <c r="AT23" s="348"/>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301"/>
      <c r="C24" s="301"/>
      <c r="D24" s="302"/>
      <c r="E24" s="364"/>
      <c r="F24" s="365"/>
      <c r="G24" s="365"/>
      <c r="H24" s="365"/>
      <c r="I24" s="366"/>
      <c r="J24" s="389" t="str">
        <f>IF(AND('Mapa final'!$H$27="Media",'Mapa final'!$L$27="Leve"),CONCATENATE("R",'Mapa final'!$A$27),"")</f>
        <v/>
      </c>
      <c r="K24" s="390"/>
      <c r="L24" s="390" t="str">
        <f>IF(AND('Mapa final'!$H$32="Media",'Mapa final'!$L$32="Leve"),CONCATENATE("R",'Mapa final'!$A$32),"")</f>
        <v/>
      </c>
      <c r="M24" s="390"/>
      <c r="N24" s="390" t="e">
        <f>IF(AND('Mapa final'!#REF!="Media",'Mapa final'!#REF!="Leve"),CONCATENATE("R",'Mapa final'!#REF!),"")</f>
        <v>#REF!</v>
      </c>
      <c r="O24" s="391"/>
      <c r="P24" s="389" t="str">
        <f>IF(AND('Mapa final'!$H$27="Media",'Mapa final'!$L$27="Menor"),CONCATENATE("R",'Mapa final'!$A$27),"")</f>
        <v/>
      </c>
      <c r="Q24" s="390"/>
      <c r="R24" s="390" t="str">
        <f>IF(AND('Mapa final'!$H$32="Media",'Mapa final'!$L$32="Menor"),CONCATENATE("R",'Mapa final'!$A$32),"")</f>
        <v/>
      </c>
      <c r="S24" s="390"/>
      <c r="T24" s="390" t="e">
        <f>IF(AND('Mapa final'!#REF!="Media",'Mapa final'!#REF!="Menor"),CONCATENATE("R",'Mapa final'!#REF!),"")</f>
        <v>#REF!</v>
      </c>
      <c r="U24" s="391"/>
      <c r="V24" s="389" t="str">
        <f>IF(AND('Mapa final'!$H$27="Media",'Mapa final'!$L$27="Moderado"),CONCATENATE("R",'Mapa final'!$A$27),"")</f>
        <v/>
      </c>
      <c r="W24" s="390"/>
      <c r="X24" s="390" t="str">
        <f>IF(AND('Mapa final'!$H$32="Media",'Mapa final'!$L$32="Moderado"),CONCATENATE("R",'Mapa final'!$A$32),"")</f>
        <v/>
      </c>
      <c r="Y24" s="390"/>
      <c r="Z24" s="390" t="e">
        <f>IF(AND('Mapa final'!#REF!="Media",'Mapa final'!#REF!="Moderado"),CONCATENATE("R",'Mapa final'!#REF!),"")</f>
        <v>#REF!</v>
      </c>
      <c r="AA24" s="391"/>
      <c r="AB24" s="374" t="str">
        <f>IF(AND('Mapa final'!$H$27="Media",'Mapa final'!$L$27="Mayor"),CONCATENATE("R",'Mapa final'!$A$27),"")</f>
        <v>R3</v>
      </c>
      <c r="AC24" s="370"/>
      <c r="AD24" s="370" t="str">
        <f>IF(AND('Mapa final'!$H$32="Media",'Mapa final'!$L$32="Mayor"),CONCATENATE("R",'Mapa final'!$A$32),"")</f>
        <v>R4</v>
      </c>
      <c r="AE24" s="370"/>
      <c r="AF24" s="370" t="e">
        <f>IF(AND('Mapa final'!#REF!="Media",'Mapa final'!#REF!="Mayor"),CONCATENATE("R",'Mapa final'!#REF!),"")</f>
        <v>#REF!</v>
      </c>
      <c r="AG24" s="371"/>
      <c r="AH24" s="380" t="str">
        <f>IF(AND('Mapa final'!$H$27="Media",'Mapa final'!$L$27="Catastrófico"),CONCATENATE("R",'Mapa final'!$A$27),"")</f>
        <v/>
      </c>
      <c r="AI24" s="381"/>
      <c r="AJ24" s="381" t="str">
        <f>IF(AND('Mapa final'!$H$32="Media",'Mapa final'!$L$32="Catastrófico"),CONCATENATE("R",'Mapa final'!$A$32),"")</f>
        <v/>
      </c>
      <c r="AK24" s="381"/>
      <c r="AL24" s="381" t="e">
        <f>IF(AND('Mapa final'!#REF!="Media",'Mapa final'!#REF!="Catastrófico"),CONCATENATE("R",'Mapa final'!#REF!),"")</f>
        <v>#REF!</v>
      </c>
      <c r="AM24" s="382"/>
      <c r="AN24" s="80"/>
      <c r="AO24" s="346"/>
      <c r="AP24" s="347"/>
      <c r="AQ24" s="347"/>
      <c r="AR24" s="347"/>
      <c r="AS24" s="347"/>
      <c r="AT24" s="348"/>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301"/>
      <c r="C25" s="301"/>
      <c r="D25" s="302"/>
      <c r="E25" s="364"/>
      <c r="F25" s="365"/>
      <c r="G25" s="365"/>
      <c r="H25" s="365"/>
      <c r="I25" s="366"/>
      <c r="J25" s="389"/>
      <c r="K25" s="390"/>
      <c r="L25" s="390"/>
      <c r="M25" s="390"/>
      <c r="N25" s="390"/>
      <c r="O25" s="391"/>
      <c r="P25" s="389"/>
      <c r="Q25" s="390"/>
      <c r="R25" s="390"/>
      <c r="S25" s="390"/>
      <c r="T25" s="390"/>
      <c r="U25" s="391"/>
      <c r="V25" s="389"/>
      <c r="W25" s="390"/>
      <c r="X25" s="390"/>
      <c r="Y25" s="390"/>
      <c r="Z25" s="390"/>
      <c r="AA25" s="391"/>
      <c r="AB25" s="374"/>
      <c r="AC25" s="370"/>
      <c r="AD25" s="370"/>
      <c r="AE25" s="370"/>
      <c r="AF25" s="370"/>
      <c r="AG25" s="371"/>
      <c r="AH25" s="380"/>
      <c r="AI25" s="381"/>
      <c r="AJ25" s="381"/>
      <c r="AK25" s="381"/>
      <c r="AL25" s="381"/>
      <c r="AM25" s="382"/>
      <c r="AN25" s="80"/>
      <c r="AO25" s="346"/>
      <c r="AP25" s="347"/>
      <c r="AQ25" s="347"/>
      <c r="AR25" s="347"/>
      <c r="AS25" s="347"/>
      <c r="AT25" s="348"/>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301"/>
      <c r="C26" s="301"/>
      <c r="D26" s="302"/>
      <c r="E26" s="364"/>
      <c r="F26" s="365"/>
      <c r="G26" s="365"/>
      <c r="H26" s="365"/>
      <c r="I26" s="366"/>
      <c r="J26" s="389" t="str">
        <f>IF(AND('Mapa final'!$H$38="Media",'Mapa final'!$L$38="Leve"),CONCATENATE("R",'Mapa final'!$A$38),"")</f>
        <v/>
      </c>
      <c r="K26" s="390"/>
      <c r="L26" s="390" t="str">
        <f>IF(AND('Mapa final'!$H$44="Media",'Mapa final'!$L$44="Leve"),CONCATENATE("R",'Mapa final'!$A$44),"")</f>
        <v/>
      </c>
      <c r="M26" s="390"/>
      <c r="N26" s="390" t="str">
        <f>IF(AND('Mapa final'!$H$50="Media",'Mapa final'!$L$50="Leve"),CONCATENATE("R",'Mapa final'!$A$50),"")</f>
        <v/>
      </c>
      <c r="O26" s="391"/>
      <c r="P26" s="389" t="str">
        <f>IF(AND('Mapa final'!$H$38="Media",'Mapa final'!$L$38="Menor"),CONCATENATE("R",'Mapa final'!$A$38),"")</f>
        <v/>
      </c>
      <c r="Q26" s="390"/>
      <c r="R26" s="390" t="str">
        <f>IF(AND('Mapa final'!$H$44="Media",'Mapa final'!$L$44="Menor"),CONCATENATE("R",'Mapa final'!$A$44),"")</f>
        <v/>
      </c>
      <c r="S26" s="390"/>
      <c r="T26" s="390" t="str">
        <f>IF(AND('Mapa final'!$H$50="Media",'Mapa final'!$L$50="Menor"),CONCATENATE("R",'Mapa final'!$A$50),"")</f>
        <v/>
      </c>
      <c r="U26" s="391"/>
      <c r="V26" s="389" t="str">
        <f>IF(AND('Mapa final'!$H$38="Media",'Mapa final'!$L$38="Moderado"),CONCATENATE("R",'Mapa final'!$A$38),"")</f>
        <v/>
      </c>
      <c r="W26" s="390"/>
      <c r="X26" s="390" t="str">
        <f>IF(AND('Mapa final'!$H$44="Media",'Mapa final'!$L$44="Moderado"),CONCATENATE("R",'Mapa final'!$A$44),"")</f>
        <v/>
      </c>
      <c r="Y26" s="390"/>
      <c r="Z26" s="390" t="str">
        <f>IF(AND('Mapa final'!$H$50="Media",'Mapa final'!$L$50="Moderado"),CONCATENATE("R",'Mapa final'!$A$50),"")</f>
        <v/>
      </c>
      <c r="AA26" s="391"/>
      <c r="AB26" s="374" t="str">
        <f>IF(AND('Mapa final'!$H$38="Media",'Mapa final'!$L$38="Mayor"),CONCATENATE("R",'Mapa final'!$A$38),"")</f>
        <v/>
      </c>
      <c r="AC26" s="370"/>
      <c r="AD26" s="370" t="str">
        <f>IF(AND('Mapa final'!$H$44="Media",'Mapa final'!$L$44="Mayor"),CONCATENATE("R",'Mapa final'!$A$44),"")</f>
        <v/>
      </c>
      <c r="AE26" s="370"/>
      <c r="AF26" s="370" t="str">
        <f>IF(AND('Mapa final'!$H$50="Media",'Mapa final'!$L$50="Mayor"),CONCATENATE("R",'Mapa final'!$A$50),"")</f>
        <v/>
      </c>
      <c r="AG26" s="371"/>
      <c r="AH26" s="380" t="str">
        <f>IF(AND('Mapa final'!$H$38="Media",'Mapa final'!$L$38="Catastrófico"),CONCATENATE("R",'Mapa final'!$A$38),"")</f>
        <v/>
      </c>
      <c r="AI26" s="381"/>
      <c r="AJ26" s="381" t="str">
        <f>IF(AND('Mapa final'!$H$44="Media",'Mapa final'!$L$44="Catastrófico"),CONCATENATE("R",'Mapa final'!$A$44),"")</f>
        <v/>
      </c>
      <c r="AK26" s="381"/>
      <c r="AL26" s="381" t="str">
        <f>IF(AND('Mapa final'!$H$50="Media",'Mapa final'!$L$50="Catastrófico"),CONCATENATE("R",'Mapa final'!$A$50),"")</f>
        <v/>
      </c>
      <c r="AM26" s="382"/>
      <c r="AN26" s="80"/>
      <c r="AO26" s="346"/>
      <c r="AP26" s="347"/>
      <c r="AQ26" s="347"/>
      <c r="AR26" s="347"/>
      <c r="AS26" s="347"/>
      <c r="AT26" s="348"/>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301"/>
      <c r="C27" s="301"/>
      <c r="D27" s="302"/>
      <c r="E27" s="364"/>
      <c r="F27" s="365"/>
      <c r="G27" s="365"/>
      <c r="H27" s="365"/>
      <c r="I27" s="366"/>
      <c r="J27" s="389"/>
      <c r="K27" s="390"/>
      <c r="L27" s="390"/>
      <c r="M27" s="390"/>
      <c r="N27" s="390"/>
      <c r="O27" s="391"/>
      <c r="P27" s="389"/>
      <c r="Q27" s="390"/>
      <c r="R27" s="390"/>
      <c r="S27" s="390"/>
      <c r="T27" s="390"/>
      <c r="U27" s="391"/>
      <c r="V27" s="389"/>
      <c r="W27" s="390"/>
      <c r="X27" s="390"/>
      <c r="Y27" s="390"/>
      <c r="Z27" s="390"/>
      <c r="AA27" s="391"/>
      <c r="AB27" s="374"/>
      <c r="AC27" s="370"/>
      <c r="AD27" s="370"/>
      <c r="AE27" s="370"/>
      <c r="AF27" s="370"/>
      <c r="AG27" s="371"/>
      <c r="AH27" s="380"/>
      <c r="AI27" s="381"/>
      <c r="AJ27" s="381"/>
      <c r="AK27" s="381"/>
      <c r="AL27" s="381"/>
      <c r="AM27" s="382"/>
      <c r="AN27" s="80"/>
      <c r="AO27" s="346"/>
      <c r="AP27" s="347"/>
      <c r="AQ27" s="347"/>
      <c r="AR27" s="347"/>
      <c r="AS27" s="347"/>
      <c r="AT27" s="348"/>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301"/>
      <c r="C28" s="301"/>
      <c r="D28" s="302"/>
      <c r="E28" s="364"/>
      <c r="F28" s="365"/>
      <c r="G28" s="365"/>
      <c r="H28" s="365"/>
      <c r="I28" s="366"/>
      <c r="J28" s="389" t="str">
        <f>IF(AND('Mapa final'!$H$56="Media",'Mapa final'!$L$56="Leve"),CONCATENATE("R",'Mapa final'!$A$56),"")</f>
        <v/>
      </c>
      <c r="K28" s="390"/>
      <c r="L28" s="390" t="str">
        <f>IF(AND('Mapa final'!$H$62="Media",'Mapa final'!$L$62="Leve"),CONCATENATE("R",'Mapa final'!$A$62),"")</f>
        <v/>
      </c>
      <c r="M28" s="390"/>
      <c r="N28" s="390" t="str">
        <f>IF(AND('Mapa final'!$H$68="Media",'Mapa final'!$L$68="Leve"),CONCATENATE("R",'Mapa final'!$A$68),"")</f>
        <v/>
      </c>
      <c r="O28" s="391"/>
      <c r="P28" s="389" t="str">
        <f>IF(AND('Mapa final'!$H$56="Media",'Mapa final'!$L$56="Menor"),CONCATENATE("R",'Mapa final'!$A$56),"")</f>
        <v/>
      </c>
      <c r="Q28" s="390"/>
      <c r="R28" s="390" t="str">
        <f>IF(AND('Mapa final'!$H$62="Media",'Mapa final'!$L$62="Menor"),CONCATENATE("R",'Mapa final'!$A$62),"")</f>
        <v/>
      </c>
      <c r="S28" s="390"/>
      <c r="T28" s="390" t="str">
        <f>IF(AND('Mapa final'!$H$68="Media",'Mapa final'!$L$68="Menor"),CONCATENATE("R",'Mapa final'!$A$68),"")</f>
        <v/>
      </c>
      <c r="U28" s="391"/>
      <c r="V28" s="389" t="str">
        <f>IF(AND('Mapa final'!$H$56="Media",'Mapa final'!$L$56="Moderado"),CONCATENATE("R",'Mapa final'!$A$56),"")</f>
        <v/>
      </c>
      <c r="W28" s="390"/>
      <c r="X28" s="390" t="str">
        <f>IF(AND('Mapa final'!$H$62="Media",'Mapa final'!$L$62="Moderado"),CONCATENATE("R",'Mapa final'!$A$62),"")</f>
        <v/>
      </c>
      <c r="Y28" s="390"/>
      <c r="Z28" s="390" t="str">
        <f>IF(AND('Mapa final'!$H$68="Media",'Mapa final'!$L$68="Moderado"),CONCATENATE("R",'Mapa final'!$A$68),"")</f>
        <v/>
      </c>
      <c r="AA28" s="391"/>
      <c r="AB28" s="374" t="str">
        <f>IF(AND('Mapa final'!$H$56="Media",'Mapa final'!$L$56="Mayor"),CONCATENATE("R",'Mapa final'!$A$56),"")</f>
        <v/>
      </c>
      <c r="AC28" s="370"/>
      <c r="AD28" s="370" t="str">
        <f>IF(AND('Mapa final'!$H$62="Media",'Mapa final'!$L$62="Mayor"),CONCATENATE("R",'Mapa final'!$A$62),"")</f>
        <v/>
      </c>
      <c r="AE28" s="370"/>
      <c r="AF28" s="370" t="str">
        <f>IF(AND('Mapa final'!$H$68="Media",'Mapa final'!$L$68="Mayor"),CONCATENATE("R",'Mapa final'!$A$68),"")</f>
        <v/>
      </c>
      <c r="AG28" s="371"/>
      <c r="AH28" s="380" t="str">
        <f>IF(AND('Mapa final'!$H$56="Media",'Mapa final'!$L$56="Catastrófico"),CONCATENATE("R",'Mapa final'!$A$56),"")</f>
        <v/>
      </c>
      <c r="AI28" s="381"/>
      <c r="AJ28" s="381" t="str">
        <f>IF(AND('Mapa final'!$H$62="Media",'Mapa final'!$L$62="Catastrófico"),CONCATENATE("R",'Mapa final'!$A$62),"")</f>
        <v/>
      </c>
      <c r="AK28" s="381"/>
      <c r="AL28" s="381" t="str">
        <f>IF(AND('Mapa final'!$H$68="Media",'Mapa final'!$L$68="Catastrófico"),CONCATENATE("R",'Mapa final'!$A$68),"")</f>
        <v/>
      </c>
      <c r="AM28" s="382"/>
      <c r="AN28" s="80"/>
      <c r="AO28" s="346"/>
      <c r="AP28" s="347"/>
      <c r="AQ28" s="347"/>
      <c r="AR28" s="347"/>
      <c r="AS28" s="347"/>
      <c r="AT28" s="348"/>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301"/>
      <c r="C29" s="301"/>
      <c r="D29" s="302"/>
      <c r="E29" s="367"/>
      <c r="F29" s="368"/>
      <c r="G29" s="368"/>
      <c r="H29" s="368"/>
      <c r="I29" s="369"/>
      <c r="J29" s="389"/>
      <c r="K29" s="390"/>
      <c r="L29" s="390"/>
      <c r="M29" s="390"/>
      <c r="N29" s="390"/>
      <c r="O29" s="391"/>
      <c r="P29" s="392"/>
      <c r="Q29" s="393"/>
      <c r="R29" s="393"/>
      <c r="S29" s="393"/>
      <c r="T29" s="393"/>
      <c r="U29" s="394"/>
      <c r="V29" s="392"/>
      <c r="W29" s="393"/>
      <c r="X29" s="393"/>
      <c r="Y29" s="393"/>
      <c r="Z29" s="393"/>
      <c r="AA29" s="394"/>
      <c r="AB29" s="377"/>
      <c r="AC29" s="378"/>
      <c r="AD29" s="378"/>
      <c r="AE29" s="378"/>
      <c r="AF29" s="378"/>
      <c r="AG29" s="379"/>
      <c r="AH29" s="383"/>
      <c r="AI29" s="384"/>
      <c r="AJ29" s="384"/>
      <c r="AK29" s="384"/>
      <c r="AL29" s="384"/>
      <c r="AM29" s="385"/>
      <c r="AN29" s="80"/>
      <c r="AO29" s="349"/>
      <c r="AP29" s="350"/>
      <c r="AQ29" s="350"/>
      <c r="AR29" s="350"/>
      <c r="AS29" s="350"/>
      <c r="AT29" s="351"/>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301"/>
      <c r="C30" s="301"/>
      <c r="D30" s="302"/>
      <c r="E30" s="361" t="s">
        <v>114</v>
      </c>
      <c r="F30" s="362"/>
      <c r="G30" s="362"/>
      <c r="H30" s="362"/>
      <c r="I30" s="362"/>
      <c r="J30" s="404" t="str">
        <f>IF(AND('Mapa final'!$H$10="Baja",'Mapa final'!$L$10="Leve"),CONCATENATE("R",'Mapa final'!$A$10),"")</f>
        <v/>
      </c>
      <c r="K30" s="405"/>
      <c r="L30" s="405" t="str">
        <f>IF(AND('Mapa final'!$H$16="Baja",'Mapa final'!$L$16="Leve"),CONCATENATE("R",'Mapa final'!$A$16),"")</f>
        <v/>
      </c>
      <c r="M30" s="405"/>
      <c r="N30" s="405" t="str">
        <f>IF(AND('Mapa final'!$H$22="Baja",'Mapa final'!$L$22="Leve"),CONCATENATE("R",'Mapa final'!$A$22),"")</f>
        <v/>
      </c>
      <c r="O30" s="406"/>
      <c r="P30" s="396" t="str">
        <f>IF(AND('Mapa final'!$H$10="Baja",'Mapa final'!$L$10="Menor"),CONCATENATE("R",'Mapa final'!$A$10),"")</f>
        <v/>
      </c>
      <c r="Q30" s="396"/>
      <c r="R30" s="396" t="str">
        <f>IF(AND('Mapa final'!$H$16="Baja",'Mapa final'!$L$16="Menor"),CONCATENATE("R",'Mapa final'!$A$16),"")</f>
        <v>R1</v>
      </c>
      <c r="S30" s="396"/>
      <c r="T30" s="396" t="str">
        <f>IF(AND('Mapa final'!$H$22="Baja",'Mapa final'!$L$22="Menor"),CONCATENATE("R",'Mapa final'!$A$22),"")</f>
        <v/>
      </c>
      <c r="U30" s="397"/>
      <c r="V30" s="395" t="str">
        <f>IF(AND('Mapa final'!$H$10="Baja",'Mapa final'!$L$10="Moderado"),CONCATENATE("R",'Mapa final'!$A$10),"")</f>
        <v/>
      </c>
      <c r="W30" s="396"/>
      <c r="X30" s="396" t="str">
        <f>IF(AND('Mapa final'!$H$16="Baja",'Mapa final'!$L$16="Moderado"),CONCATENATE("R",'Mapa final'!$A$16),"")</f>
        <v/>
      </c>
      <c r="Y30" s="396"/>
      <c r="Z30" s="396" t="str">
        <f>IF(AND('Mapa final'!$H$22="Baja",'Mapa final'!$L$22="Moderado"),CONCATENATE("R",'Mapa final'!$A$22),"")</f>
        <v/>
      </c>
      <c r="AA30" s="397"/>
      <c r="AB30" s="372" t="str">
        <f>IF(AND('Mapa final'!$H$10="Baja",'Mapa final'!$L$10="Mayor"),CONCATENATE("R",'Mapa final'!$A$10),"")</f>
        <v/>
      </c>
      <c r="AC30" s="373"/>
      <c r="AD30" s="373" t="str">
        <f>IF(AND('Mapa final'!$H$16="Baja",'Mapa final'!$L$16="Mayor"),CONCATENATE("R",'Mapa final'!$A$16),"")</f>
        <v/>
      </c>
      <c r="AE30" s="373"/>
      <c r="AF30" s="373" t="str">
        <f>IF(AND('Mapa final'!$H$22="Baja",'Mapa final'!$L$22="Mayor"),CONCATENATE("R",'Mapa final'!$A$22),"")</f>
        <v/>
      </c>
      <c r="AG30" s="375"/>
      <c r="AH30" s="386" t="str">
        <f>IF(AND('Mapa final'!$H$10="Baja",'Mapa final'!$L$10="Catastrófico"),CONCATENATE("R",'Mapa final'!$A$10),"")</f>
        <v/>
      </c>
      <c r="AI30" s="387"/>
      <c r="AJ30" s="387" t="str">
        <f>IF(AND('Mapa final'!$H$16="Baja",'Mapa final'!$L$16="Catastrófico"),CONCATENATE("R",'Mapa final'!$A$16),"")</f>
        <v/>
      </c>
      <c r="AK30" s="387"/>
      <c r="AL30" s="387" t="str">
        <f>IF(AND('Mapa final'!$H$22="Baja",'Mapa final'!$L$22="Catastrófico"),CONCATENATE("R",'Mapa final'!$A$22),"")</f>
        <v/>
      </c>
      <c r="AM30" s="388"/>
      <c r="AN30" s="80"/>
      <c r="AO30" s="352" t="s">
        <v>82</v>
      </c>
      <c r="AP30" s="353"/>
      <c r="AQ30" s="353"/>
      <c r="AR30" s="353"/>
      <c r="AS30" s="353"/>
      <c r="AT30" s="354"/>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301"/>
      <c r="C31" s="301"/>
      <c r="D31" s="302"/>
      <c r="E31" s="364"/>
      <c r="F31" s="365"/>
      <c r="G31" s="365"/>
      <c r="H31" s="365"/>
      <c r="I31" s="365"/>
      <c r="J31" s="400"/>
      <c r="K31" s="398"/>
      <c r="L31" s="398"/>
      <c r="M31" s="398"/>
      <c r="N31" s="398"/>
      <c r="O31" s="399"/>
      <c r="P31" s="390"/>
      <c r="Q31" s="390"/>
      <c r="R31" s="390"/>
      <c r="S31" s="390"/>
      <c r="T31" s="390"/>
      <c r="U31" s="391"/>
      <c r="V31" s="389"/>
      <c r="W31" s="390"/>
      <c r="X31" s="390"/>
      <c r="Y31" s="390"/>
      <c r="Z31" s="390"/>
      <c r="AA31" s="391"/>
      <c r="AB31" s="374"/>
      <c r="AC31" s="370"/>
      <c r="AD31" s="370"/>
      <c r="AE31" s="370"/>
      <c r="AF31" s="370"/>
      <c r="AG31" s="371"/>
      <c r="AH31" s="380"/>
      <c r="AI31" s="381"/>
      <c r="AJ31" s="381"/>
      <c r="AK31" s="381"/>
      <c r="AL31" s="381"/>
      <c r="AM31" s="382"/>
      <c r="AN31" s="80"/>
      <c r="AO31" s="355"/>
      <c r="AP31" s="356"/>
      <c r="AQ31" s="356"/>
      <c r="AR31" s="356"/>
      <c r="AS31" s="356"/>
      <c r="AT31" s="357"/>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301"/>
      <c r="C32" s="301"/>
      <c r="D32" s="302"/>
      <c r="E32" s="364"/>
      <c r="F32" s="365"/>
      <c r="G32" s="365"/>
      <c r="H32" s="365"/>
      <c r="I32" s="365"/>
      <c r="J32" s="400" t="str">
        <f>IF(AND('Mapa final'!$H$27="Baja",'Mapa final'!$L$27="Leve"),CONCATENATE("R",'Mapa final'!$A$27),"")</f>
        <v/>
      </c>
      <c r="K32" s="398"/>
      <c r="L32" s="398" t="str">
        <f>IF(AND('Mapa final'!$H$32="Baja",'Mapa final'!$L$32="Leve"),CONCATENATE("R",'Mapa final'!$A$32),"")</f>
        <v/>
      </c>
      <c r="M32" s="398"/>
      <c r="N32" s="398" t="e">
        <f>IF(AND('Mapa final'!#REF!="Baja",'Mapa final'!#REF!="Leve"),CONCATENATE("R",'Mapa final'!#REF!),"")</f>
        <v>#REF!</v>
      </c>
      <c r="O32" s="399"/>
      <c r="P32" s="390" t="str">
        <f>IF(AND('Mapa final'!$H$27="Baja",'Mapa final'!$L$27="Menor"),CONCATENATE("R",'Mapa final'!$A$27),"")</f>
        <v/>
      </c>
      <c r="Q32" s="390"/>
      <c r="R32" s="390" t="str">
        <f>IF(AND('Mapa final'!$H$32="Baja",'Mapa final'!$L$32="Menor"),CONCATENATE("R",'Mapa final'!$A$32),"")</f>
        <v/>
      </c>
      <c r="S32" s="390"/>
      <c r="T32" s="390" t="e">
        <f>IF(AND('Mapa final'!#REF!="Baja",'Mapa final'!#REF!="Menor"),CONCATENATE("R",'Mapa final'!#REF!),"")</f>
        <v>#REF!</v>
      </c>
      <c r="U32" s="391"/>
      <c r="V32" s="389" t="str">
        <f>IF(AND('Mapa final'!$H$27="Baja",'Mapa final'!$L$27="Moderado"),CONCATENATE("R",'Mapa final'!$A$27),"")</f>
        <v/>
      </c>
      <c r="W32" s="390"/>
      <c r="X32" s="390" t="str">
        <f>IF(AND('Mapa final'!$H$32="Baja",'Mapa final'!$L$32="Moderado"),CONCATENATE("R",'Mapa final'!$A$32),"")</f>
        <v/>
      </c>
      <c r="Y32" s="390"/>
      <c r="Z32" s="390" t="e">
        <f>IF(AND('Mapa final'!#REF!="Baja",'Mapa final'!#REF!="Moderado"),CONCATENATE("R",'Mapa final'!#REF!),"")</f>
        <v>#REF!</v>
      </c>
      <c r="AA32" s="391"/>
      <c r="AB32" s="374" t="str">
        <f>IF(AND('Mapa final'!$H$27="Baja",'Mapa final'!$L$27="Mayor"),CONCATENATE("R",'Mapa final'!$A$27),"")</f>
        <v/>
      </c>
      <c r="AC32" s="370"/>
      <c r="AD32" s="370" t="str">
        <f>IF(AND('Mapa final'!$H$32="Baja",'Mapa final'!$L$32="Mayor"),CONCATENATE("R",'Mapa final'!$A$32),"")</f>
        <v/>
      </c>
      <c r="AE32" s="370"/>
      <c r="AF32" s="370" t="e">
        <f>IF(AND('Mapa final'!#REF!="Baja",'Mapa final'!#REF!="Mayor"),CONCATENATE("R",'Mapa final'!#REF!),"")</f>
        <v>#REF!</v>
      </c>
      <c r="AG32" s="371"/>
      <c r="AH32" s="380" t="str">
        <f>IF(AND('Mapa final'!$H$27="Baja",'Mapa final'!$L$27="Catastrófico"),CONCATENATE("R",'Mapa final'!$A$27),"")</f>
        <v/>
      </c>
      <c r="AI32" s="381"/>
      <c r="AJ32" s="381" t="str">
        <f>IF(AND('Mapa final'!$H$32="Baja",'Mapa final'!$L$32="Catastrófico"),CONCATENATE("R",'Mapa final'!$A$32),"")</f>
        <v/>
      </c>
      <c r="AK32" s="381"/>
      <c r="AL32" s="381" t="e">
        <f>IF(AND('Mapa final'!#REF!="Baja",'Mapa final'!#REF!="Catastrófico"),CONCATENATE("R",'Mapa final'!#REF!),"")</f>
        <v>#REF!</v>
      </c>
      <c r="AM32" s="382"/>
      <c r="AN32" s="80"/>
      <c r="AO32" s="355"/>
      <c r="AP32" s="356"/>
      <c r="AQ32" s="356"/>
      <c r="AR32" s="356"/>
      <c r="AS32" s="356"/>
      <c r="AT32" s="357"/>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301"/>
      <c r="C33" s="301"/>
      <c r="D33" s="302"/>
      <c r="E33" s="364"/>
      <c r="F33" s="365"/>
      <c r="G33" s="365"/>
      <c r="H33" s="365"/>
      <c r="I33" s="365"/>
      <c r="J33" s="400"/>
      <c r="K33" s="398"/>
      <c r="L33" s="398"/>
      <c r="M33" s="398"/>
      <c r="N33" s="398"/>
      <c r="O33" s="399"/>
      <c r="P33" s="390"/>
      <c r="Q33" s="390"/>
      <c r="R33" s="390"/>
      <c r="S33" s="390"/>
      <c r="T33" s="390"/>
      <c r="U33" s="391"/>
      <c r="V33" s="389"/>
      <c r="W33" s="390"/>
      <c r="X33" s="390"/>
      <c r="Y33" s="390"/>
      <c r="Z33" s="390"/>
      <c r="AA33" s="391"/>
      <c r="AB33" s="374"/>
      <c r="AC33" s="370"/>
      <c r="AD33" s="370"/>
      <c r="AE33" s="370"/>
      <c r="AF33" s="370"/>
      <c r="AG33" s="371"/>
      <c r="AH33" s="380"/>
      <c r="AI33" s="381"/>
      <c r="AJ33" s="381"/>
      <c r="AK33" s="381"/>
      <c r="AL33" s="381"/>
      <c r="AM33" s="382"/>
      <c r="AN33" s="80"/>
      <c r="AO33" s="355"/>
      <c r="AP33" s="356"/>
      <c r="AQ33" s="356"/>
      <c r="AR33" s="356"/>
      <c r="AS33" s="356"/>
      <c r="AT33" s="357"/>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301"/>
      <c r="C34" s="301"/>
      <c r="D34" s="302"/>
      <c r="E34" s="364"/>
      <c r="F34" s="365"/>
      <c r="G34" s="365"/>
      <c r="H34" s="365"/>
      <c r="I34" s="365"/>
      <c r="J34" s="400" t="str">
        <f>IF(AND('Mapa final'!$H$38="Baja",'Mapa final'!$L$38="Leve"),CONCATENATE("R",'Mapa final'!$A$38),"")</f>
        <v/>
      </c>
      <c r="K34" s="398"/>
      <c r="L34" s="398" t="str">
        <f>IF(AND('Mapa final'!$H$44="Baja",'Mapa final'!$L$44="Leve"),CONCATENATE("R",'Mapa final'!$A$44),"")</f>
        <v/>
      </c>
      <c r="M34" s="398"/>
      <c r="N34" s="398" t="str">
        <f>IF(AND('Mapa final'!$H$50="Baja",'Mapa final'!$L$50="Leve"),CONCATENATE("R",'Mapa final'!$A$50),"")</f>
        <v/>
      </c>
      <c r="O34" s="399"/>
      <c r="P34" s="390" t="str">
        <f>IF(AND('Mapa final'!$H$38="Baja",'Mapa final'!$L$38="Menor"),CONCATENATE("R",'Mapa final'!$A$38),"")</f>
        <v/>
      </c>
      <c r="Q34" s="390"/>
      <c r="R34" s="390" t="str">
        <f>IF(AND('Mapa final'!$H$44="Baja",'Mapa final'!$L$44="Menor"),CONCATENATE("R",'Mapa final'!$A$44),"")</f>
        <v/>
      </c>
      <c r="S34" s="390"/>
      <c r="T34" s="390" t="str">
        <f>IF(AND('Mapa final'!$H$50="Baja",'Mapa final'!$L$50="Menor"),CONCATENATE("R",'Mapa final'!$A$50),"")</f>
        <v/>
      </c>
      <c r="U34" s="391"/>
      <c r="V34" s="389" t="str">
        <f>IF(AND('Mapa final'!$H$38="Baja",'Mapa final'!$L$38="Moderado"),CONCATENATE("R",'Mapa final'!$A$38),"")</f>
        <v/>
      </c>
      <c r="W34" s="390"/>
      <c r="X34" s="390" t="str">
        <f>IF(AND('Mapa final'!$H$44="Baja",'Mapa final'!$L$44="Moderado"),CONCATENATE("R",'Mapa final'!$A$44),"")</f>
        <v/>
      </c>
      <c r="Y34" s="390"/>
      <c r="Z34" s="390" t="str">
        <f>IF(AND('Mapa final'!$H$50="Baja",'Mapa final'!$L$50="Moderado"),CONCATENATE("R",'Mapa final'!$A$50),"")</f>
        <v/>
      </c>
      <c r="AA34" s="391"/>
      <c r="AB34" s="374" t="str">
        <f>IF(AND('Mapa final'!$H$38="Baja",'Mapa final'!$L$38="Mayor"),CONCATENATE("R",'Mapa final'!$A$38),"")</f>
        <v/>
      </c>
      <c r="AC34" s="370"/>
      <c r="AD34" s="370" t="str">
        <f>IF(AND('Mapa final'!$H$44="Baja",'Mapa final'!$L$44="Mayor"),CONCATENATE("R",'Mapa final'!$A$44),"")</f>
        <v>R6</v>
      </c>
      <c r="AE34" s="370"/>
      <c r="AF34" s="370" t="str">
        <f>IF(AND('Mapa final'!$H$50="Baja",'Mapa final'!$L$50="Mayor"),CONCATENATE("R",'Mapa final'!$A$50),"")</f>
        <v/>
      </c>
      <c r="AG34" s="371"/>
      <c r="AH34" s="380" t="str">
        <f>IF(AND('Mapa final'!$H$38="Baja",'Mapa final'!$L$38="Catastrófico"),CONCATENATE("R",'Mapa final'!$A$38),"")</f>
        <v/>
      </c>
      <c r="AI34" s="381"/>
      <c r="AJ34" s="381" t="str">
        <f>IF(AND('Mapa final'!$H$44="Baja",'Mapa final'!$L$44="Catastrófico"),CONCATENATE("R",'Mapa final'!$A$44),"")</f>
        <v/>
      </c>
      <c r="AK34" s="381"/>
      <c r="AL34" s="381" t="str">
        <f>IF(AND('Mapa final'!$H$50="Baja",'Mapa final'!$L$50="Catastrófico"),CONCATENATE("R",'Mapa final'!$A$50),"")</f>
        <v/>
      </c>
      <c r="AM34" s="382"/>
      <c r="AN34" s="80"/>
      <c r="AO34" s="355"/>
      <c r="AP34" s="356"/>
      <c r="AQ34" s="356"/>
      <c r="AR34" s="356"/>
      <c r="AS34" s="356"/>
      <c r="AT34" s="357"/>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301"/>
      <c r="C35" s="301"/>
      <c r="D35" s="302"/>
      <c r="E35" s="364"/>
      <c r="F35" s="365"/>
      <c r="G35" s="365"/>
      <c r="H35" s="365"/>
      <c r="I35" s="365"/>
      <c r="J35" s="400"/>
      <c r="K35" s="398"/>
      <c r="L35" s="398"/>
      <c r="M35" s="398"/>
      <c r="N35" s="398"/>
      <c r="O35" s="399"/>
      <c r="P35" s="390"/>
      <c r="Q35" s="390"/>
      <c r="R35" s="390"/>
      <c r="S35" s="390"/>
      <c r="T35" s="390"/>
      <c r="U35" s="391"/>
      <c r="V35" s="389"/>
      <c r="W35" s="390"/>
      <c r="X35" s="390"/>
      <c r="Y35" s="390"/>
      <c r="Z35" s="390"/>
      <c r="AA35" s="391"/>
      <c r="AB35" s="374"/>
      <c r="AC35" s="370"/>
      <c r="AD35" s="370"/>
      <c r="AE35" s="370"/>
      <c r="AF35" s="370"/>
      <c r="AG35" s="371"/>
      <c r="AH35" s="380"/>
      <c r="AI35" s="381"/>
      <c r="AJ35" s="381"/>
      <c r="AK35" s="381"/>
      <c r="AL35" s="381"/>
      <c r="AM35" s="382"/>
      <c r="AN35" s="80"/>
      <c r="AO35" s="355"/>
      <c r="AP35" s="356"/>
      <c r="AQ35" s="356"/>
      <c r="AR35" s="356"/>
      <c r="AS35" s="356"/>
      <c r="AT35" s="357"/>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301"/>
      <c r="C36" s="301"/>
      <c r="D36" s="302"/>
      <c r="E36" s="364"/>
      <c r="F36" s="365"/>
      <c r="G36" s="365"/>
      <c r="H36" s="365"/>
      <c r="I36" s="365"/>
      <c r="J36" s="400" t="str">
        <f>IF(AND('Mapa final'!$H$56="Baja",'Mapa final'!$L$56="Leve"),CONCATENATE("R",'Mapa final'!$A$56),"")</f>
        <v/>
      </c>
      <c r="K36" s="398"/>
      <c r="L36" s="398" t="str">
        <f>IF(AND('Mapa final'!$H$62="Baja",'Mapa final'!$L$62="Leve"),CONCATENATE("R",'Mapa final'!$A$62),"")</f>
        <v/>
      </c>
      <c r="M36" s="398"/>
      <c r="N36" s="398" t="str">
        <f>IF(AND('Mapa final'!$H$68="Baja",'Mapa final'!$L$68="Leve"),CONCATENATE("R",'Mapa final'!$A$68),"")</f>
        <v/>
      </c>
      <c r="O36" s="399"/>
      <c r="P36" s="390" t="str">
        <f>IF(AND('Mapa final'!$H$56="Baja",'Mapa final'!$L$56="Menor"),CONCATENATE("R",'Mapa final'!$A$56),"")</f>
        <v/>
      </c>
      <c r="Q36" s="390"/>
      <c r="R36" s="390" t="str">
        <f>IF(AND('Mapa final'!$H$62="Baja",'Mapa final'!$L$62="Menor"),CONCATENATE("R",'Mapa final'!$A$62),"")</f>
        <v/>
      </c>
      <c r="S36" s="390"/>
      <c r="T36" s="390" t="str">
        <f>IF(AND('Mapa final'!$H$68="Baja",'Mapa final'!$L$68="Menor"),CONCATENATE("R",'Mapa final'!$A$68),"")</f>
        <v/>
      </c>
      <c r="U36" s="391"/>
      <c r="V36" s="389" t="str">
        <f>IF(AND('Mapa final'!$H$56="Baja",'Mapa final'!$L$56="Moderado"),CONCATENATE("R",'Mapa final'!$A$56),"")</f>
        <v/>
      </c>
      <c r="W36" s="390"/>
      <c r="X36" s="390" t="str">
        <f>IF(AND('Mapa final'!$H$62="Baja",'Mapa final'!$L$62="Moderado"),CONCATENATE("R",'Mapa final'!$A$62),"")</f>
        <v/>
      </c>
      <c r="Y36" s="390"/>
      <c r="Z36" s="390" t="str">
        <f>IF(AND('Mapa final'!$H$68="Baja",'Mapa final'!$L$68="Moderado"),CONCATENATE("R",'Mapa final'!$A$68),"")</f>
        <v/>
      </c>
      <c r="AA36" s="391"/>
      <c r="AB36" s="374" t="str">
        <f>IF(AND('Mapa final'!$H$56="Baja",'Mapa final'!$L$56="Mayor"),CONCATENATE("R",'Mapa final'!$A$56),"")</f>
        <v/>
      </c>
      <c r="AC36" s="370"/>
      <c r="AD36" s="370" t="str">
        <f>IF(AND('Mapa final'!$H$62="Baja",'Mapa final'!$L$62="Mayor"),CONCATENATE("R",'Mapa final'!$A$62),"")</f>
        <v/>
      </c>
      <c r="AE36" s="370"/>
      <c r="AF36" s="370" t="str">
        <f>IF(AND('Mapa final'!$H$68="Baja",'Mapa final'!$L$68="Mayor"),CONCATENATE("R",'Mapa final'!$A$68),"")</f>
        <v/>
      </c>
      <c r="AG36" s="371"/>
      <c r="AH36" s="380" t="str">
        <f>IF(AND('Mapa final'!$H$56="Baja",'Mapa final'!$L$56="Catastrófico"),CONCATENATE("R",'Mapa final'!$A$56),"")</f>
        <v/>
      </c>
      <c r="AI36" s="381"/>
      <c r="AJ36" s="381" t="str">
        <f>IF(AND('Mapa final'!$H$62="Baja",'Mapa final'!$L$62="Catastrófico"),CONCATENATE("R",'Mapa final'!$A$62),"")</f>
        <v/>
      </c>
      <c r="AK36" s="381"/>
      <c r="AL36" s="381" t="str">
        <f>IF(AND('Mapa final'!$H$68="Baja",'Mapa final'!$L$68="Catastrófico"),CONCATENATE("R",'Mapa final'!$A$68),"")</f>
        <v/>
      </c>
      <c r="AM36" s="382"/>
      <c r="AN36" s="80"/>
      <c r="AO36" s="355"/>
      <c r="AP36" s="356"/>
      <c r="AQ36" s="356"/>
      <c r="AR36" s="356"/>
      <c r="AS36" s="356"/>
      <c r="AT36" s="357"/>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301"/>
      <c r="C37" s="301"/>
      <c r="D37" s="302"/>
      <c r="E37" s="367"/>
      <c r="F37" s="368"/>
      <c r="G37" s="368"/>
      <c r="H37" s="368"/>
      <c r="I37" s="368"/>
      <c r="J37" s="401"/>
      <c r="K37" s="402"/>
      <c r="L37" s="402"/>
      <c r="M37" s="402"/>
      <c r="N37" s="402"/>
      <c r="O37" s="403"/>
      <c r="P37" s="393"/>
      <c r="Q37" s="393"/>
      <c r="R37" s="393"/>
      <c r="S37" s="393"/>
      <c r="T37" s="393"/>
      <c r="U37" s="394"/>
      <c r="V37" s="392"/>
      <c r="W37" s="393"/>
      <c r="X37" s="393"/>
      <c r="Y37" s="393"/>
      <c r="Z37" s="393"/>
      <c r="AA37" s="394"/>
      <c r="AB37" s="377"/>
      <c r="AC37" s="378"/>
      <c r="AD37" s="378"/>
      <c r="AE37" s="378"/>
      <c r="AF37" s="378"/>
      <c r="AG37" s="379"/>
      <c r="AH37" s="383"/>
      <c r="AI37" s="384"/>
      <c r="AJ37" s="384"/>
      <c r="AK37" s="384"/>
      <c r="AL37" s="384"/>
      <c r="AM37" s="385"/>
      <c r="AN37" s="80"/>
      <c r="AO37" s="358"/>
      <c r="AP37" s="359"/>
      <c r="AQ37" s="359"/>
      <c r="AR37" s="359"/>
      <c r="AS37" s="359"/>
      <c r="AT37" s="36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301"/>
      <c r="C38" s="301"/>
      <c r="D38" s="302"/>
      <c r="E38" s="361" t="s">
        <v>113</v>
      </c>
      <c r="F38" s="362"/>
      <c r="G38" s="362"/>
      <c r="H38" s="362"/>
      <c r="I38" s="363"/>
      <c r="J38" s="404" t="str">
        <f>IF(AND('Mapa final'!$H$10="Muy Baja",'Mapa final'!$L$10="Leve"),CONCATENATE("R",'Mapa final'!$A$10),"")</f>
        <v/>
      </c>
      <c r="K38" s="405"/>
      <c r="L38" s="405" t="str">
        <f>IF(AND('Mapa final'!$H$16="Muy Baja",'Mapa final'!$L$16="Leve"),CONCATENATE("R",'Mapa final'!$A$16),"")</f>
        <v/>
      </c>
      <c r="M38" s="405"/>
      <c r="N38" s="405" t="str">
        <f>IF(AND('Mapa final'!$H$22="Muy Baja",'Mapa final'!$L$22="Leve"),CONCATENATE("R",'Mapa final'!$A$22),"")</f>
        <v/>
      </c>
      <c r="O38" s="406"/>
      <c r="P38" s="404" t="str">
        <f>IF(AND('Mapa final'!$H$10="Muy Baja",'Mapa final'!$L$10="Menor"),CONCATENATE("R",'Mapa final'!$A$10),"")</f>
        <v/>
      </c>
      <c r="Q38" s="405"/>
      <c r="R38" s="405" t="str">
        <f>IF(AND('Mapa final'!$H$16="Muy Baja",'Mapa final'!$L$16="Menor"),CONCATENATE("R",'Mapa final'!$A$16),"")</f>
        <v/>
      </c>
      <c r="S38" s="405"/>
      <c r="T38" s="405" t="str">
        <f>IF(AND('Mapa final'!$H$22="Muy Baja",'Mapa final'!$L$22="Menor"),CONCATENATE("R",'Mapa final'!$A$22),"")</f>
        <v/>
      </c>
      <c r="U38" s="406"/>
      <c r="V38" s="395" t="str">
        <f>IF(AND('Mapa final'!$H$10="Muy Baja",'Mapa final'!$L$10="Moderado"),CONCATENATE("R",'Mapa final'!$A$10),"")</f>
        <v/>
      </c>
      <c r="W38" s="396"/>
      <c r="X38" s="396" t="str">
        <f>IF(AND('Mapa final'!$H$16="Muy Baja",'Mapa final'!$L$16="Moderado"),CONCATENATE("R",'Mapa final'!$A$16),"")</f>
        <v/>
      </c>
      <c r="Y38" s="396"/>
      <c r="Z38" s="396" t="str">
        <f>IF(AND('Mapa final'!$H$22="Muy Baja",'Mapa final'!$L$22="Moderado"),CONCATENATE("R",'Mapa final'!$A$22),"")</f>
        <v/>
      </c>
      <c r="AA38" s="397"/>
      <c r="AB38" s="372" t="str">
        <f>IF(AND('Mapa final'!$H$10="Muy Baja",'Mapa final'!$L$10="Mayor"),CONCATENATE("R",'Mapa final'!$A$10),"")</f>
        <v/>
      </c>
      <c r="AC38" s="373"/>
      <c r="AD38" s="373" t="str">
        <f>IF(AND('Mapa final'!$H$16="Muy Baja",'Mapa final'!$L$16="Mayor"),CONCATENATE("R",'Mapa final'!$A$16),"")</f>
        <v/>
      </c>
      <c r="AE38" s="373"/>
      <c r="AF38" s="373" t="str">
        <f>IF(AND('Mapa final'!$H$22="Muy Baja",'Mapa final'!$L$22="Mayor"),CONCATENATE("R",'Mapa final'!$A$22),"")</f>
        <v/>
      </c>
      <c r="AG38" s="375"/>
      <c r="AH38" s="386" t="str">
        <f>IF(AND('Mapa final'!$H$10="Muy Baja",'Mapa final'!$L$10="Catastrófico"),CONCATENATE("R",'Mapa final'!$A$10),"")</f>
        <v/>
      </c>
      <c r="AI38" s="387"/>
      <c r="AJ38" s="387" t="str">
        <f>IF(AND('Mapa final'!$H$16="Muy Baja",'Mapa final'!$L$16="Catastrófico"),CONCATENATE("R",'Mapa final'!$A$16),"")</f>
        <v/>
      </c>
      <c r="AK38" s="387"/>
      <c r="AL38" s="387" t="str">
        <f>IF(AND('Mapa final'!$H$22="Muy Baja",'Mapa final'!$L$22="Catastrófico"),CONCATENATE("R",'Mapa final'!$A$22),"")</f>
        <v/>
      </c>
      <c r="AM38" s="388"/>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301"/>
      <c r="C39" s="301"/>
      <c r="D39" s="302"/>
      <c r="E39" s="364"/>
      <c r="F39" s="365"/>
      <c r="G39" s="365"/>
      <c r="H39" s="365"/>
      <c r="I39" s="366"/>
      <c r="J39" s="400"/>
      <c r="K39" s="398"/>
      <c r="L39" s="398"/>
      <c r="M39" s="398"/>
      <c r="N39" s="398"/>
      <c r="O39" s="399"/>
      <c r="P39" s="400"/>
      <c r="Q39" s="398"/>
      <c r="R39" s="398"/>
      <c r="S39" s="398"/>
      <c r="T39" s="398"/>
      <c r="U39" s="399"/>
      <c r="V39" s="389"/>
      <c r="W39" s="390"/>
      <c r="X39" s="390"/>
      <c r="Y39" s="390"/>
      <c r="Z39" s="390"/>
      <c r="AA39" s="391"/>
      <c r="AB39" s="374"/>
      <c r="AC39" s="370"/>
      <c r="AD39" s="370"/>
      <c r="AE39" s="370"/>
      <c r="AF39" s="370"/>
      <c r="AG39" s="371"/>
      <c r="AH39" s="380"/>
      <c r="AI39" s="381"/>
      <c r="AJ39" s="381"/>
      <c r="AK39" s="381"/>
      <c r="AL39" s="381"/>
      <c r="AM39" s="382"/>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301"/>
      <c r="C40" s="301"/>
      <c r="D40" s="302"/>
      <c r="E40" s="364"/>
      <c r="F40" s="365"/>
      <c r="G40" s="365"/>
      <c r="H40" s="365"/>
      <c r="I40" s="366"/>
      <c r="J40" s="400" t="str">
        <f>IF(AND('Mapa final'!$H$27="Muy Baja",'Mapa final'!$L$27="Leve"),CONCATENATE("R",'Mapa final'!$A$27),"")</f>
        <v/>
      </c>
      <c r="K40" s="398"/>
      <c r="L40" s="398" t="str">
        <f>IF(AND('Mapa final'!$H$32="Muy Baja",'Mapa final'!$L$32="Leve"),CONCATENATE("R",'Mapa final'!$A$32),"")</f>
        <v/>
      </c>
      <c r="M40" s="398"/>
      <c r="N40" s="398" t="e">
        <f>IF(AND('Mapa final'!#REF!="Muy Baja",'Mapa final'!#REF!="Leve"),CONCATENATE("R",'Mapa final'!#REF!),"")</f>
        <v>#REF!</v>
      </c>
      <c r="O40" s="399"/>
      <c r="P40" s="400" t="str">
        <f>IF(AND('Mapa final'!$H$27="Muy Baja",'Mapa final'!$L$27="Menor"),CONCATENATE("R",'Mapa final'!$A$27),"")</f>
        <v/>
      </c>
      <c r="Q40" s="398"/>
      <c r="R40" s="398" t="str">
        <f>IF(AND('Mapa final'!$H$32="Muy Baja",'Mapa final'!$L$32="Menor"),CONCATENATE("R",'Mapa final'!$A$32),"")</f>
        <v/>
      </c>
      <c r="S40" s="398"/>
      <c r="T40" s="398" t="e">
        <f>IF(AND('Mapa final'!#REF!="Muy Baja",'Mapa final'!#REF!="Menor"),CONCATENATE("R",'Mapa final'!#REF!),"")</f>
        <v>#REF!</v>
      </c>
      <c r="U40" s="399"/>
      <c r="V40" s="389" t="str">
        <f>IF(AND('Mapa final'!$H$27="Muy Baja",'Mapa final'!$L$27="Moderado"),CONCATENATE("R",'Mapa final'!$A$27),"")</f>
        <v/>
      </c>
      <c r="W40" s="390"/>
      <c r="X40" s="390" t="str">
        <f>IF(AND('Mapa final'!$H$32="Muy Baja",'Mapa final'!$L$32="Moderado"),CONCATENATE("R",'Mapa final'!$A$32),"")</f>
        <v/>
      </c>
      <c r="Y40" s="390"/>
      <c r="Z40" s="390" t="e">
        <f>IF(AND('Mapa final'!#REF!="Muy Baja",'Mapa final'!#REF!="Moderado"),CONCATENATE("R",'Mapa final'!#REF!),"")</f>
        <v>#REF!</v>
      </c>
      <c r="AA40" s="391"/>
      <c r="AB40" s="374" t="str">
        <f>IF(AND('Mapa final'!$H$27="Muy Baja",'Mapa final'!$L$27="Mayor"),CONCATENATE("R",'Mapa final'!$A$27),"")</f>
        <v/>
      </c>
      <c r="AC40" s="370"/>
      <c r="AD40" s="370" t="str">
        <f>IF(AND('Mapa final'!$H$32="Muy Baja",'Mapa final'!$L$32="Mayor"),CONCATENATE("R",'Mapa final'!$A$32),"")</f>
        <v/>
      </c>
      <c r="AE40" s="370"/>
      <c r="AF40" s="370" t="e">
        <f>IF(AND('Mapa final'!#REF!="Muy Baja",'Mapa final'!#REF!="Mayor"),CONCATENATE("R",'Mapa final'!#REF!),"")</f>
        <v>#REF!</v>
      </c>
      <c r="AG40" s="371"/>
      <c r="AH40" s="380" t="str">
        <f>IF(AND('Mapa final'!$H$27="Muy Baja",'Mapa final'!$L$27="Catastrófico"),CONCATENATE("R",'Mapa final'!$A$27),"")</f>
        <v/>
      </c>
      <c r="AI40" s="381"/>
      <c r="AJ40" s="381" t="str">
        <f>IF(AND('Mapa final'!$H$32="Muy Baja",'Mapa final'!$L$32="Catastrófico"),CONCATENATE("R",'Mapa final'!$A$32),"")</f>
        <v/>
      </c>
      <c r="AK40" s="381"/>
      <c r="AL40" s="381" t="e">
        <f>IF(AND('Mapa final'!#REF!="Muy Baja",'Mapa final'!#REF!="Catastrófico"),CONCATENATE("R",'Mapa final'!#REF!),"")</f>
        <v>#REF!</v>
      </c>
      <c r="AM40" s="382"/>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301"/>
      <c r="C41" s="301"/>
      <c r="D41" s="302"/>
      <c r="E41" s="364"/>
      <c r="F41" s="365"/>
      <c r="G41" s="365"/>
      <c r="H41" s="365"/>
      <c r="I41" s="366"/>
      <c r="J41" s="400"/>
      <c r="K41" s="398"/>
      <c r="L41" s="398"/>
      <c r="M41" s="398"/>
      <c r="N41" s="398"/>
      <c r="O41" s="399"/>
      <c r="P41" s="400"/>
      <c r="Q41" s="398"/>
      <c r="R41" s="398"/>
      <c r="S41" s="398"/>
      <c r="T41" s="398"/>
      <c r="U41" s="399"/>
      <c r="V41" s="389"/>
      <c r="W41" s="390"/>
      <c r="X41" s="390"/>
      <c r="Y41" s="390"/>
      <c r="Z41" s="390"/>
      <c r="AA41" s="391"/>
      <c r="AB41" s="374"/>
      <c r="AC41" s="370"/>
      <c r="AD41" s="370"/>
      <c r="AE41" s="370"/>
      <c r="AF41" s="370"/>
      <c r="AG41" s="371"/>
      <c r="AH41" s="380"/>
      <c r="AI41" s="381"/>
      <c r="AJ41" s="381"/>
      <c r="AK41" s="381"/>
      <c r="AL41" s="381"/>
      <c r="AM41" s="382"/>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301"/>
      <c r="C42" s="301"/>
      <c r="D42" s="302"/>
      <c r="E42" s="364"/>
      <c r="F42" s="365"/>
      <c r="G42" s="365"/>
      <c r="H42" s="365"/>
      <c r="I42" s="366"/>
      <c r="J42" s="400" t="str">
        <f>IF(AND('Mapa final'!$H$38="Muy Baja",'Mapa final'!$L$38="Leve"),CONCATENATE("R",'Mapa final'!$A$38),"")</f>
        <v/>
      </c>
      <c r="K42" s="398"/>
      <c r="L42" s="398" t="str">
        <f>IF(AND('Mapa final'!$H$44="Muy Baja",'Mapa final'!$L$44="Leve"),CONCATENATE("R",'Mapa final'!$A$44),"")</f>
        <v/>
      </c>
      <c r="M42" s="398"/>
      <c r="N42" s="398" t="str">
        <f>IF(AND('Mapa final'!$H$50="Muy Baja",'Mapa final'!$L$50="Leve"),CONCATENATE("R",'Mapa final'!$A$50),"")</f>
        <v/>
      </c>
      <c r="O42" s="399"/>
      <c r="P42" s="400" t="str">
        <f>IF(AND('Mapa final'!$H$38="Muy Baja",'Mapa final'!$L$38="Menor"),CONCATENATE("R",'Mapa final'!$A$38),"")</f>
        <v/>
      </c>
      <c r="Q42" s="398"/>
      <c r="R42" s="398" t="str">
        <f>IF(AND('Mapa final'!$H$44="Muy Baja",'Mapa final'!$L$44="Menor"),CONCATENATE("R",'Mapa final'!$A$44),"")</f>
        <v/>
      </c>
      <c r="S42" s="398"/>
      <c r="T42" s="398" t="str">
        <f>IF(AND('Mapa final'!$H$50="Muy Baja",'Mapa final'!$L$50="Menor"),CONCATENATE("R",'Mapa final'!$A$50),"")</f>
        <v/>
      </c>
      <c r="U42" s="399"/>
      <c r="V42" s="389" t="str">
        <f>IF(AND('Mapa final'!$H$38="Muy Baja",'Mapa final'!$L$38="Moderado"),CONCATENATE("R",'Mapa final'!$A$38),"")</f>
        <v/>
      </c>
      <c r="W42" s="390"/>
      <c r="X42" s="390" t="str">
        <f>IF(AND('Mapa final'!$H$44="Muy Baja",'Mapa final'!$L$44="Moderado"),CONCATENATE("R",'Mapa final'!$A$44),"")</f>
        <v/>
      </c>
      <c r="Y42" s="390"/>
      <c r="Z42" s="390" t="str">
        <f>IF(AND('Mapa final'!$H$50="Muy Baja",'Mapa final'!$L$50="Moderado"),CONCATENATE("R",'Mapa final'!$A$50),"")</f>
        <v/>
      </c>
      <c r="AA42" s="391"/>
      <c r="AB42" s="374" t="str">
        <f>IF(AND('Mapa final'!$H$38="Muy Baja",'Mapa final'!$L$38="Mayor"),CONCATENATE("R",'Mapa final'!$A$38),"")</f>
        <v/>
      </c>
      <c r="AC42" s="370"/>
      <c r="AD42" s="370" t="str">
        <f>IF(AND('Mapa final'!$H$44="Muy Baja",'Mapa final'!$L$44="Mayor"),CONCATENATE("R",'Mapa final'!$A$44),"")</f>
        <v/>
      </c>
      <c r="AE42" s="370"/>
      <c r="AF42" s="370" t="str">
        <f>IF(AND('Mapa final'!$H$50="Muy Baja",'Mapa final'!$L$50="Mayor"),CONCATENATE("R",'Mapa final'!$A$50),"")</f>
        <v/>
      </c>
      <c r="AG42" s="371"/>
      <c r="AH42" s="380" t="str">
        <f>IF(AND('Mapa final'!$H$38="Muy Baja",'Mapa final'!$L$38="Catastrófico"),CONCATENATE("R",'Mapa final'!$A$38),"")</f>
        <v/>
      </c>
      <c r="AI42" s="381"/>
      <c r="AJ42" s="381" t="str">
        <f>IF(AND('Mapa final'!$H$44="Muy Baja",'Mapa final'!$L$44="Catastrófico"),CONCATENATE("R",'Mapa final'!$A$44),"")</f>
        <v/>
      </c>
      <c r="AK42" s="381"/>
      <c r="AL42" s="381" t="str">
        <f>IF(AND('Mapa final'!$H$50="Muy Baja",'Mapa final'!$L$50="Catastrófico"),CONCATENATE("R",'Mapa final'!$A$50),"")</f>
        <v/>
      </c>
      <c r="AM42" s="382"/>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301"/>
      <c r="C43" s="301"/>
      <c r="D43" s="302"/>
      <c r="E43" s="364"/>
      <c r="F43" s="365"/>
      <c r="G43" s="365"/>
      <c r="H43" s="365"/>
      <c r="I43" s="366"/>
      <c r="J43" s="400"/>
      <c r="K43" s="398"/>
      <c r="L43" s="398"/>
      <c r="M43" s="398"/>
      <c r="N43" s="398"/>
      <c r="O43" s="399"/>
      <c r="P43" s="400"/>
      <c r="Q43" s="398"/>
      <c r="R43" s="398"/>
      <c r="S43" s="398"/>
      <c r="T43" s="398"/>
      <c r="U43" s="399"/>
      <c r="V43" s="389"/>
      <c r="W43" s="390"/>
      <c r="X43" s="390"/>
      <c r="Y43" s="390"/>
      <c r="Z43" s="390"/>
      <c r="AA43" s="391"/>
      <c r="AB43" s="374"/>
      <c r="AC43" s="370"/>
      <c r="AD43" s="370"/>
      <c r="AE43" s="370"/>
      <c r="AF43" s="370"/>
      <c r="AG43" s="371"/>
      <c r="AH43" s="380"/>
      <c r="AI43" s="381"/>
      <c r="AJ43" s="381"/>
      <c r="AK43" s="381"/>
      <c r="AL43" s="381"/>
      <c r="AM43" s="382"/>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301"/>
      <c r="C44" s="301"/>
      <c r="D44" s="302"/>
      <c r="E44" s="364"/>
      <c r="F44" s="365"/>
      <c r="G44" s="365"/>
      <c r="H44" s="365"/>
      <c r="I44" s="366"/>
      <c r="J44" s="400" t="str">
        <f>IF(AND('Mapa final'!$H$56="Muy Baja",'Mapa final'!$L$56="Leve"),CONCATENATE("R",'Mapa final'!$A$56),"")</f>
        <v/>
      </c>
      <c r="K44" s="398"/>
      <c r="L44" s="398" t="str">
        <f>IF(AND('Mapa final'!$H$62="Muy Baja",'Mapa final'!$L$62="Leve"),CONCATENATE("R",'Mapa final'!$A$62),"")</f>
        <v/>
      </c>
      <c r="M44" s="398"/>
      <c r="N44" s="398" t="str">
        <f>IF(AND('Mapa final'!$H$68="Muy Baja",'Mapa final'!$L$68="Leve"),CONCATENATE("R",'Mapa final'!$A$68),"")</f>
        <v/>
      </c>
      <c r="O44" s="399"/>
      <c r="P44" s="400" t="str">
        <f>IF(AND('Mapa final'!$H$56="Muy Baja",'Mapa final'!$L$56="Menor"),CONCATENATE("R",'Mapa final'!$A$56),"")</f>
        <v/>
      </c>
      <c r="Q44" s="398"/>
      <c r="R44" s="398" t="str">
        <f>IF(AND('Mapa final'!$H$62="Muy Baja",'Mapa final'!$L$62="Menor"),CONCATENATE("R",'Mapa final'!$A$62),"")</f>
        <v/>
      </c>
      <c r="S44" s="398"/>
      <c r="T44" s="398" t="str">
        <f>IF(AND('Mapa final'!$H$68="Muy Baja",'Mapa final'!$L$68="Menor"),CONCATENATE("R",'Mapa final'!$A$68),"")</f>
        <v/>
      </c>
      <c r="U44" s="399"/>
      <c r="V44" s="389" t="str">
        <f>IF(AND('Mapa final'!$H$56="Muy Baja",'Mapa final'!$L$56="Moderado"),CONCATENATE("R",'Mapa final'!$A$56),"")</f>
        <v/>
      </c>
      <c r="W44" s="390"/>
      <c r="X44" s="390" t="str">
        <f>IF(AND('Mapa final'!$H$62="Muy Baja",'Mapa final'!$L$62="Moderado"),CONCATENATE("R",'Mapa final'!$A$62),"")</f>
        <v/>
      </c>
      <c r="Y44" s="390"/>
      <c r="Z44" s="390" t="str">
        <f>IF(AND('Mapa final'!$H$68="Muy Baja",'Mapa final'!$L$68="Moderado"),CONCATENATE("R",'Mapa final'!$A$68),"")</f>
        <v/>
      </c>
      <c r="AA44" s="391"/>
      <c r="AB44" s="374" t="str">
        <f>IF(AND('Mapa final'!$H$56="Muy Baja",'Mapa final'!$L$56="Mayor"),CONCATENATE("R",'Mapa final'!$A$56),"")</f>
        <v/>
      </c>
      <c r="AC44" s="370"/>
      <c r="AD44" s="370" t="str">
        <f>IF(AND('Mapa final'!$H$62="Muy Baja",'Mapa final'!$L$62="Mayor"),CONCATENATE("R",'Mapa final'!$A$62),"")</f>
        <v/>
      </c>
      <c r="AE44" s="370"/>
      <c r="AF44" s="370" t="str">
        <f>IF(AND('Mapa final'!$H$68="Muy Baja",'Mapa final'!$L$68="Mayor"),CONCATENATE("R",'Mapa final'!$A$68),"")</f>
        <v/>
      </c>
      <c r="AG44" s="371"/>
      <c r="AH44" s="380" t="str">
        <f>IF(AND('Mapa final'!$H$56="Muy Baja",'Mapa final'!$L$56="Catastrófico"),CONCATENATE("R",'Mapa final'!$A$56),"")</f>
        <v/>
      </c>
      <c r="AI44" s="381"/>
      <c r="AJ44" s="381" t="str">
        <f>IF(AND('Mapa final'!$H$62="Muy Baja",'Mapa final'!$L$62="Catastrófico"),CONCATENATE("R",'Mapa final'!$A$62),"")</f>
        <v/>
      </c>
      <c r="AK44" s="381"/>
      <c r="AL44" s="381" t="str">
        <f>IF(AND('Mapa final'!$H$68="Muy Baja",'Mapa final'!$L$68="Catastrófico"),CONCATENATE("R",'Mapa final'!$A$68),"")</f>
        <v/>
      </c>
      <c r="AM44" s="382"/>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301"/>
      <c r="C45" s="301"/>
      <c r="D45" s="302"/>
      <c r="E45" s="367"/>
      <c r="F45" s="368"/>
      <c r="G45" s="368"/>
      <c r="H45" s="368"/>
      <c r="I45" s="369"/>
      <c r="J45" s="401"/>
      <c r="K45" s="402"/>
      <c r="L45" s="402"/>
      <c r="M45" s="402"/>
      <c r="N45" s="402"/>
      <c r="O45" s="403"/>
      <c r="P45" s="401"/>
      <c r="Q45" s="402"/>
      <c r="R45" s="402"/>
      <c r="S45" s="402"/>
      <c r="T45" s="402"/>
      <c r="U45" s="403"/>
      <c r="V45" s="392"/>
      <c r="W45" s="393"/>
      <c r="X45" s="393"/>
      <c r="Y45" s="393"/>
      <c r="Z45" s="393"/>
      <c r="AA45" s="394"/>
      <c r="AB45" s="377"/>
      <c r="AC45" s="378"/>
      <c r="AD45" s="378"/>
      <c r="AE45" s="378"/>
      <c r="AF45" s="378"/>
      <c r="AG45" s="379"/>
      <c r="AH45" s="383"/>
      <c r="AI45" s="384"/>
      <c r="AJ45" s="384"/>
      <c r="AK45" s="384"/>
      <c r="AL45" s="384"/>
      <c r="AM45" s="385"/>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61" t="s">
        <v>112</v>
      </c>
      <c r="K46" s="362"/>
      <c r="L46" s="362"/>
      <c r="M46" s="362"/>
      <c r="N46" s="362"/>
      <c r="O46" s="363"/>
      <c r="P46" s="361" t="s">
        <v>111</v>
      </c>
      <c r="Q46" s="362"/>
      <c r="R46" s="362"/>
      <c r="S46" s="362"/>
      <c r="T46" s="362"/>
      <c r="U46" s="363"/>
      <c r="V46" s="361" t="s">
        <v>110</v>
      </c>
      <c r="W46" s="362"/>
      <c r="X46" s="362"/>
      <c r="Y46" s="362"/>
      <c r="Z46" s="362"/>
      <c r="AA46" s="363"/>
      <c r="AB46" s="361" t="s">
        <v>109</v>
      </c>
      <c r="AC46" s="376"/>
      <c r="AD46" s="362"/>
      <c r="AE46" s="362"/>
      <c r="AF46" s="362"/>
      <c r="AG46" s="363"/>
      <c r="AH46" s="361" t="s">
        <v>108</v>
      </c>
      <c r="AI46" s="362"/>
      <c r="AJ46" s="362"/>
      <c r="AK46" s="362"/>
      <c r="AL46" s="362"/>
      <c r="AM46" s="363"/>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64"/>
      <c r="K47" s="365"/>
      <c r="L47" s="365"/>
      <c r="M47" s="365"/>
      <c r="N47" s="365"/>
      <c r="O47" s="366"/>
      <c r="P47" s="364"/>
      <c r="Q47" s="365"/>
      <c r="R47" s="365"/>
      <c r="S47" s="365"/>
      <c r="T47" s="365"/>
      <c r="U47" s="366"/>
      <c r="V47" s="364"/>
      <c r="W47" s="365"/>
      <c r="X47" s="365"/>
      <c r="Y47" s="365"/>
      <c r="Z47" s="365"/>
      <c r="AA47" s="366"/>
      <c r="AB47" s="364"/>
      <c r="AC47" s="365"/>
      <c r="AD47" s="365"/>
      <c r="AE47" s="365"/>
      <c r="AF47" s="365"/>
      <c r="AG47" s="366"/>
      <c r="AH47" s="364"/>
      <c r="AI47" s="365"/>
      <c r="AJ47" s="365"/>
      <c r="AK47" s="365"/>
      <c r="AL47" s="365"/>
      <c r="AM47" s="366"/>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64"/>
      <c r="K48" s="365"/>
      <c r="L48" s="365"/>
      <c r="M48" s="365"/>
      <c r="N48" s="365"/>
      <c r="O48" s="366"/>
      <c r="P48" s="364"/>
      <c r="Q48" s="365"/>
      <c r="R48" s="365"/>
      <c r="S48" s="365"/>
      <c r="T48" s="365"/>
      <c r="U48" s="366"/>
      <c r="V48" s="364"/>
      <c r="W48" s="365"/>
      <c r="X48" s="365"/>
      <c r="Y48" s="365"/>
      <c r="Z48" s="365"/>
      <c r="AA48" s="366"/>
      <c r="AB48" s="364"/>
      <c r="AC48" s="365"/>
      <c r="AD48" s="365"/>
      <c r="AE48" s="365"/>
      <c r="AF48" s="365"/>
      <c r="AG48" s="366"/>
      <c r="AH48" s="364"/>
      <c r="AI48" s="365"/>
      <c r="AJ48" s="365"/>
      <c r="AK48" s="365"/>
      <c r="AL48" s="365"/>
      <c r="AM48" s="366"/>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64"/>
      <c r="K49" s="365"/>
      <c r="L49" s="365"/>
      <c r="M49" s="365"/>
      <c r="N49" s="365"/>
      <c r="O49" s="366"/>
      <c r="P49" s="364"/>
      <c r="Q49" s="365"/>
      <c r="R49" s="365"/>
      <c r="S49" s="365"/>
      <c r="T49" s="365"/>
      <c r="U49" s="366"/>
      <c r="V49" s="364"/>
      <c r="W49" s="365"/>
      <c r="X49" s="365"/>
      <c r="Y49" s="365"/>
      <c r="Z49" s="365"/>
      <c r="AA49" s="366"/>
      <c r="AB49" s="364"/>
      <c r="AC49" s="365"/>
      <c r="AD49" s="365"/>
      <c r="AE49" s="365"/>
      <c r="AF49" s="365"/>
      <c r="AG49" s="366"/>
      <c r="AH49" s="364"/>
      <c r="AI49" s="365"/>
      <c r="AJ49" s="365"/>
      <c r="AK49" s="365"/>
      <c r="AL49" s="365"/>
      <c r="AM49" s="366"/>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64"/>
      <c r="K50" s="365"/>
      <c r="L50" s="365"/>
      <c r="M50" s="365"/>
      <c r="N50" s="365"/>
      <c r="O50" s="366"/>
      <c r="P50" s="364"/>
      <c r="Q50" s="365"/>
      <c r="R50" s="365"/>
      <c r="S50" s="365"/>
      <c r="T50" s="365"/>
      <c r="U50" s="366"/>
      <c r="V50" s="364"/>
      <c r="W50" s="365"/>
      <c r="X50" s="365"/>
      <c r="Y50" s="365"/>
      <c r="Z50" s="365"/>
      <c r="AA50" s="366"/>
      <c r="AB50" s="364"/>
      <c r="AC50" s="365"/>
      <c r="AD50" s="365"/>
      <c r="AE50" s="365"/>
      <c r="AF50" s="365"/>
      <c r="AG50" s="366"/>
      <c r="AH50" s="364"/>
      <c r="AI50" s="365"/>
      <c r="AJ50" s="365"/>
      <c r="AK50" s="365"/>
      <c r="AL50" s="365"/>
      <c r="AM50" s="366"/>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67"/>
      <c r="K51" s="368"/>
      <c r="L51" s="368"/>
      <c r="M51" s="368"/>
      <c r="N51" s="368"/>
      <c r="O51" s="369"/>
      <c r="P51" s="367"/>
      <c r="Q51" s="368"/>
      <c r="R51" s="368"/>
      <c r="S51" s="368"/>
      <c r="T51" s="368"/>
      <c r="U51" s="369"/>
      <c r="V51" s="367"/>
      <c r="W51" s="368"/>
      <c r="X51" s="368"/>
      <c r="Y51" s="368"/>
      <c r="Z51" s="368"/>
      <c r="AA51" s="369"/>
      <c r="AB51" s="367"/>
      <c r="AC51" s="368"/>
      <c r="AD51" s="368"/>
      <c r="AE51" s="368"/>
      <c r="AF51" s="368"/>
      <c r="AG51" s="369"/>
      <c r="AH51" s="367"/>
      <c r="AI51" s="368"/>
      <c r="AJ51" s="368"/>
      <c r="AK51" s="368"/>
      <c r="AL51" s="368"/>
      <c r="AM51" s="36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08" t="s">
        <v>55</v>
      </c>
      <c r="C1" s="408"/>
      <c r="D1" s="408"/>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09" t="s">
        <v>63</v>
      </c>
      <c r="C1" s="409"/>
      <c r="D1" s="409"/>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topLeftCell="A4"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10" t="s">
        <v>78</v>
      </c>
      <c r="C1" s="411"/>
      <c r="D1" s="411"/>
      <c r="E1" s="411"/>
      <c r="F1" s="412"/>
    </row>
    <row r="2" spans="2:6" ht="16.5" thickBot="1" x14ac:dyDescent="0.3">
      <c r="B2" s="86"/>
      <c r="C2" s="86"/>
      <c r="D2" s="86"/>
      <c r="E2" s="86"/>
      <c r="F2" s="86"/>
    </row>
    <row r="3" spans="2:6" ht="16.5" thickBot="1" x14ac:dyDescent="0.25">
      <c r="B3" s="414" t="s">
        <v>64</v>
      </c>
      <c r="C3" s="415"/>
      <c r="D3" s="415"/>
      <c r="E3" s="98" t="s">
        <v>65</v>
      </c>
      <c r="F3" s="99" t="s">
        <v>66</v>
      </c>
    </row>
    <row r="4" spans="2:6" ht="31.5" x14ac:dyDescent="0.2">
      <c r="B4" s="416" t="s">
        <v>67</v>
      </c>
      <c r="C4" s="418" t="s">
        <v>13</v>
      </c>
      <c r="D4" s="87" t="s">
        <v>14</v>
      </c>
      <c r="E4" s="88" t="s">
        <v>68</v>
      </c>
      <c r="F4" s="89">
        <v>0.25</v>
      </c>
    </row>
    <row r="5" spans="2:6" ht="47.25" x14ac:dyDescent="0.2">
      <c r="B5" s="417"/>
      <c r="C5" s="419"/>
      <c r="D5" s="90" t="s">
        <v>15</v>
      </c>
      <c r="E5" s="91" t="s">
        <v>69</v>
      </c>
      <c r="F5" s="92">
        <v>0.15</v>
      </c>
    </row>
    <row r="6" spans="2:6" ht="47.25" x14ac:dyDescent="0.2">
      <c r="B6" s="417"/>
      <c r="C6" s="419"/>
      <c r="D6" s="90" t="s">
        <v>16</v>
      </c>
      <c r="E6" s="91" t="s">
        <v>70</v>
      </c>
      <c r="F6" s="92">
        <v>0.1</v>
      </c>
    </row>
    <row r="7" spans="2:6" ht="63" x14ac:dyDescent="0.2">
      <c r="B7" s="417"/>
      <c r="C7" s="419" t="s">
        <v>17</v>
      </c>
      <c r="D7" s="90" t="s">
        <v>10</v>
      </c>
      <c r="E7" s="91" t="s">
        <v>71</v>
      </c>
      <c r="F7" s="92">
        <v>0.25</v>
      </c>
    </row>
    <row r="8" spans="2:6" ht="31.5" x14ac:dyDescent="0.2">
      <c r="B8" s="417"/>
      <c r="C8" s="419"/>
      <c r="D8" s="90" t="s">
        <v>9</v>
      </c>
      <c r="E8" s="91" t="s">
        <v>72</v>
      </c>
      <c r="F8" s="92">
        <v>0.15</v>
      </c>
    </row>
    <row r="9" spans="2:6" ht="47.25" x14ac:dyDescent="0.2">
      <c r="B9" s="417" t="s">
        <v>162</v>
      </c>
      <c r="C9" s="419" t="s">
        <v>18</v>
      </c>
      <c r="D9" s="90" t="s">
        <v>19</v>
      </c>
      <c r="E9" s="91" t="s">
        <v>73</v>
      </c>
      <c r="F9" s="93" t="s">
        <v>74</v>
      </c>
    </row>
    <row r="10" spans="2:6" ht="63" x14ac:dyDescent="0.2">
      <c r="B10" s="417"/>
      <c r="C10" s="419"/>
      <c r="D10" s="90" t="s">
        <v>20</v>
      </c>
      <c r="E10" s="91" t="s">
        <v>75</v>
      </c>
      <c r="F10" s="93" t="s">
        <v>74</v>
      </c>
    </row>
    <row r="11" spans="2:6" ht="47.25" x14ac:dyDescent="0.2">
      <c r="B11" s="417"/>
      <c r="C11" s="419" t="s">
        <v>21</v>
      </c>
      <c r="D11" s="90" t="s">
        <v>22</v>
      </c>
      <c r="E11" s="91" t="s">
        <v>76</v>
      </c>
      <c r="F11" s="93" t="s">
        <v>74</v>
      </c>
    </row>
    <row r="12" spans="2:6" ht="47.25" x14ac:dyDescent="0.2">
      <c r="B12" s="417"/>
      <c r="C12" s="419"/>
      <c r="D12" s="90" t="s">
        <v>23</v>
      </c>
      <c r="E12" s="91" t="s">
        <v>77</v>
      </c>
      <c r="F12" s="93" t="s">
        <v>74</v>
      </c>
    </row>
    <row r="13" spans="2:6" ht="31.5" x14ac:dyDescent="0.2">
      <c r="B13" s="417"/>
      <c r="C13" s="419" t="s">
        <v>24</v>
      </c>
      <c r="D13" s="90" t="s">
        <v>119</v>
      </c>
      <c r="E13" s="91" t="s">
        <v>122</v>
      </c>
      <c r="F13" s="93" t="s">
        <v>74</v>
      </c>
    </row>
    <row r="14" spans="2:6" ht="32.25" thickBot="1" x14ac:dyDescent="0.25">
      <c r="B14" s="420"/>
      <c r="C14" s="421"/>
      <c r="D14" s="94" t="s">
        <v>120</v>
      </c>
      <c r="E14" s="95" t="s">
        <v>121</v>
      </c>
      <c r="F14" s="96" t="s">
        <v>74</v>
      </c>
    </row>
    <row r="15" spans="2:6" ht="49.5" customHeight="1" x14ac:dyDescent="0.2">
      <c r="B15" s="413" t="s">
        <v>159</v>
      </c>
      <c r="C15" s="413"/>
      <c r="D15" s="413"/>
      <c r="E15" s="413"/>
      <c r="F15" s="413"/>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2023-08-09T00:24:38Z</dcterms:modified>
</cp:coreProperties>
</file>